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190" windowHeight="12030" activeTab="0"/>
  </bookViews>
  <sheets>
    <sheet name="стропы канатные " sheetId="1" r:id="rId1"/>
  </sheets>
  <definedNames>
    <definedName name="_xlnm.Print_Area" localSheetId="0">'стропы канатные '!$C$1:$AB$196</definedName>
  </definedNames>
  <calcPr fullCalcOnLoad="1" refMode="R1C1"/>
</workbook>
</file>

<file path=xl/sharedStrings.xml><?xml version="1.0" encoding="utf-8"?>
<sst xmlns="http://schemas.openxmlformats.org/spreadsheetml/2006/main" count="448" uniqueCount="215">
  <si>
    <t>Стропы канатные петлевые УСК-1 (СКП-1)</t>
  </si>
  <si>
    <t>Опрессовка втулкой / ручной заплет</t>
  </si>
  <si>
    <t>Цена с НДС, руб.</t>
  </si>
  <si>
    <t>L-1 м</t>
  </si>
  <si>
    <t>L-2 м</t>
  </si>
  <si>
    <t>L-3 м</t>
  </si>
  <si>
    <t>L-4 м</t>
  </si>
  <si>
    <t>L-5 м</t>
  </si>
  <si>
    <t>+ 1,0 м</t>
  </si>
  <si>
    <t>втул</t>
  </si>
  <si>
    <t>запл</t>
  </si>
  <si>
    <t>85</t>
  </si>
  <si>
    <t>120</t>
  </si>
  <si>
    <t>135</t>
  </si>
  <si>
    <t>150</t>
  </si>
  <si>
    <t>170</t>
  </si>
  <si>
    <t>180</t>
  </si>
  <si>
    <t>205</t>
  </si>
  <si>
    <t>210</t>
  </si>
  <si>
    <t>240</t>
  </si>
  <si>
    <t>35</t>
  </si>
  <si>
    <t>160</t>
  </si>
  <si>
    <t>200</t>
  </si>
  <si>
    <t>260</t>
  </si>
  <si>
    <t>290</t>
  </si>
  <si>
    <t>295</t>
  </si>
  <si>
    <t>340</t>
  </si>
  <si>
    <t>360</t>
  </si>
  <si>
    <t>400</t>
  </si>
  <si>
    <t>45</t>
  </si>
  <si>
    <t>230</t>
  </si>
  <si>
    <t>270</t>
  </si>
  <si>
    <t>280</t>
  </si>
  <si>
    <t>320</t>
  </si>
  <si>
    <t>330</t>
  </si>
  <si>
    <t>380</t>
  </si>
  <si>
    <t>440</t>
  </si>
  <si>
    <t>55</t>
  </si>
  <si>
    <t>1,60</t>
  </si>
  <si>
    <t>390</t>
  </si>
  <si>
    <t>450</t>
  </si>
  <si>
    <t>460</t>
  </si>
  <si>
    <t>530</t>
  </si>
  <si>
    <t>70</t>
  </si>
  <si>
    <t>420</t>
  </si>
  <si>
    <t>480</t>
  </si>
  <si>
    <t>505</t>
  </si>
  <si>
    <t>560</t>
  </si>
  <si>
    <t>590</t>
  </si>
  <si>
    <t>680</t>
  </si>
  <si>
    <t>80</t>
  </si>
  <si>
    <t>2,50</t>
  </si>
  <si>
    <t>485</t>
  </si>
  <si>
    <t>525</t>
  </si>
  <si>
    <t>600</t>
  </si>
  <si>
    <t>635</t>
  </si>
  <si>
    <t>720</t>
  </si>
  <si>
    <t>740</t>
  </si>
  <si>
    <t>850</t>
  </si>
  <si>
    <t>110</t>
  </si>
  <si>
    <t>580</t>
  </si>
  <si>
    <t>860</t>
  </si>
  <si>
    <t>890</t>
  </si>
  <si>
    <t>130</t>
  </si>
  <si>
    <t>3,20</t>
  </si>
  <si>
    <t>620</t>
  </si>
  <si>
    <t>710</t>
  </si>
  <si>
    <t>750</t>
  </si>
  <si>
    <t>885</t>
  </si>
  <si>
    <t>1020</t>
  </si>
  <si>
    <t>1030</t>
  </si>
  <si>
    <t>1180</t>
  </si>
  <si>
    <t>4,00</t>
  </si>
  <si>
    <t>760</t>
  </si>
  <si>
    <t>905</t>
  </si>
  <si>
    <t>1045</t>
  </si>
  <si>
    <t>1050</t>
  </si>
  <si>
    <t>1220</t>
  </si>
  <si>
    <t>1240</t>
  </si>
  <si>
    <t>1390</t>
  </si>
  <si>
    <t>165</t>
  </si>
  <si>
    <t>5,00</t>
  </si>
  <si>
    <t>990</t>
  </si>
  <si>
    <t>1110</t>
  </si>
  <si>
    <t>1160</t>
  </si>
  <si>
    <t>1320</t>
  </si>
  <si>
    <t>1350</t>
  </si>
  <si>
    <t>1560</t>
  </si>
  <si>
    <t>1580</t>
  </si>
  <si>
    <t>1740</t>
  </si>
  <si>
    <t>6,30</t>
  </si>
  <si>
    <t>1470</t>
  </si>
  <si>
    <t>1660</t>
  </si>
  <si>
    <t>1710</t>
  </si>
  <si>
    <t>1890</t>
  </si>
  <si>
    <t>1940</t>
  </si>
  <si>
    <t>2230</t>
  </si>
  <si>
    <t>2260</t>
  </si>
  <si>
    <t>2520</t>
  </si>
  <si>
    <t>8,00</t>
  </si>
  <si>
    <t>1980</t>
  </si>
  <si>
    <t>2600</t>
  </si>
  <si>
    <t>2280</t>
  </si>
  <si>
    <t>2610</t>
  </si>
  <si>
    <t>2620</t>
  </si>
  <si>
    <t>2950</t>
  </si>
  <si>
    <t>3010</t>
  </si>
  <si>
    <t>3340</t>
  </si>
  <si>
    <t>10,00</t>
  </si>
  <si>
    <t>2560</t>
  </si>
  <si>
    <t>2930</t>
  </si>
  <si>
    <t>2860</t>
  </si>
  <si>
    <t>3280</t>
  </si>
  <si>
    <t>3400</t>
  </si>
  <si>
    <t>3660</t>
  </si>
  <si>
    <t>12,50</t>
  </si>
  <si>
    <t>3240</t>
  </si>
  <si>
    <t>3740</t>
  </si>
  <si>
    <t>3620</t>
  </si>
  <si>
    <t>4200</t>
  </si>
  <si>
    <t>4300</t>
  </si>
  <si>
    <t>4680</t>
  </si>
  <si>
    <t>16,00</t>
  </si>
  <si>
    <t>6360</t>
  </si>
  <si>
    <t>7280</t>
  </si>
  <si>
    <t>7400</t>
  </si>
  <si>
    <t>7960</t>
  </si>
  <si>
    <t>20,00</t>
  </si>
  <si>
    <t>ц е н а    д о г о в о р н а я</t>
  </si>
  <si>
    <t>25,00</t>
  </si>
  <si>
    <t>62</t>
  </si>
  <si>
    <t>100</t>
  </si>
  <si>
    <t>220</t>
  </si>
  <si>
    <t>40</t>
  </si>
  <si>
    <t>190</t>
  </si>
  <si>
    <t>610</t>
  </si>
  <si>
    <t>265</t>
  </si>
  <si>
    <t>1100</t>
  </si>
  <si>
    <t>920</t>
  </si>
  <si>
    <t>195</t>
  </si>
  <si>
    <t>245</t>
  </si>
  <si>
    <t>285</t>
  </si>
  <si>
    <t>1290</t>
  </si>
  <si>
    <t>1820</t>
  </si>
  <si>
    <t>2040</t>
  </si>
  <si>
    <t>350</t>
  </si>
  <si>
    <t>3560</t>
  </si>
  <si>
    <t>410</t>
  </si>
  <si>
    <t>640</t>
  </si>
  <si>
    <t>940</t>
  </si>
  <si>
    <t xml:space="preserve">Ветвь канатная  ВК с крюком  </t>
  </si>
  <si>
    <t>Опрессовка втулкой (ручной заплет - +10%)</t>
  </si>
  <si>
    <t>415</t>
  </si>
  <si>
    <t>445</t>
  </si>
  <si>
    <t>670</t>
  </si>
  <si>
    <t>790</t>
  </si>
  <si>
    <t>800</t>
  </si>
  <si>
    <t>95</t>
  </si>
  <si>
    <t>2580</t>
  </si>
  <si>
    <t>Стропы канатные одноветвевые 1СК</t>
  </si>
  <si>
    <t>25</t>
  </si>
  <si>
    <t>470</t>
  </si>
  <si>
    <t>60</t>
  </si>
  <si>
    <t>1280</t>
  </si>
  <si>
    <t>1600</t>
  </si>
  <si>
    <t>1540</t>
  </si>
  <si>
    <t>2190</t>
  </si>
  <si>
    <t>140</t>
  </si>
  <si>
    <t>2920</t>
  </si>
  <si>
    <t>4020</t>
  </si>
  <si>
    <t>Стропы канатные двухветвевые 2СК (доп.метр – в расчете на 2 ветви)</t>
  </si>
  <si>
    <t>77</t>
  </si>
  <si>
    <t>1200</t>
  </si>
  <si>
    <t>1460</t>
  </si>
  <si>
    <t>87</t>
  </si>
  <si>
    <t>1230</t>
  </si>
  <si>
    <t>1690</t>
  </si>
  <si>
    <t>2160</t>
  </si>
  <si>
    <t>2760</t>
  </si>
  <si>
    <t>3690</t>
  </si>
  <si>
    <t>3760</t>
  </si>
  <si>
    <t>Стропы канатные четырехветвевые 4СК (доп.метр – в расчете на 4 ветви)</t>
  </si>
  <si>
    <t>2475</t>
  </si>
  <si>
    <t>4760</t>
  </si>
  <si>
    <t>6320</t>
  </si>
  <si>
    <t>Грузоподъемность в тоннах</t>
  </si>
  <si>
    <r>
      <t>Стропы канатные кольцевые УСК-2 (СКК-1)</t>
    </r>
    <r>
      <rPr>
        <b/>
        <sz val="12"/>
        <rFont val="Verdana"/>
        <family val="2"/>
      </rPr>
      <t xml:space="preserve">            Опрессовка втулкой / ручной заплет</t>
    </r>
  </si>
  <si>
    <t xml:space="preserve">Для изготовления используется стальной канат ГОСТ 2688-80 и  ГОСТ 7668-80. </t>
  </si>
  <si>
    <r>
      <t>Æ</t>
    </r>
    <r>
      <rPr>
        <b/>
        <sz val="9"/>
        <rFont val="Arial"/>
        <family val="2"/>
      </rPr>
      <t xml:space="preserve"> мм </t>
    </r>
  </si>
  <si>
    <r>
      <t>Æ</t>
    </r>
    <r>
      <rPr>
        <b/>
        <sz val="11"/>
        <rFont val="Arial"/>
        <family val="2"/>
      </rPr>
      <t xml:space="preserve"> мм </t>
    </r>
  </si>
  <si>
    <t>ОБЩЕСТВО С ОГРАНИЧЕННОЙ ОТВЕТСТВЕННОСТЬЮ</t>
  </si>
  <si>
    <t>РЕГИОНАЛЬНЫЙ ИНЖЕНЕРНО-КОНСУЛЬТАТИВНЫЙ ЦЕНТР</t>
  </si>
  <si>
    <t>"КРАН-ПАРК".</t>
  </si>
  <si>
    <t xml:space="preserve">             ИНН3801005214 Р/с 40702810918310002775</t>
  </si>
  <si>
    <t xml:space="preserve">             Ангарское отд. 7690 Байкальского Банка Сбербанка РФ</t>
  </si>
  <si>
    <t xml:space="preserve">             БИК 042520607 Кор. Счет 30101810900000000607</t>
  </si>
  <si>
    <t xml:space="preserve">             КПП 380101001 ОГРН 1033800517673</t>
  </si>
  <si>
    <t xml:space="preserve">             Коды ОКВЭД 29.22.6; 51.70 ОКПО 22873496</t>
  </si>
  <si>
    <t>"КРАН-ПАРК"</t>
  </si>
  <si>
    <t>ООО "РИКЦ "Кран-Парк"  имеет РАЗРЕШЕНИЕ № РРС 67-0142, выданное Прибайкальским управлением Федеральной службы по экологическому, технологическому и атомному надзору.</t>
  </si>
  <si>
    <t>Прайс на Стропы канатные</t>
  </si>
  <si>
    <t>Цены с учётом НДС</t>
  </si>
  <si>
    <t xml:space="preserve">E-mail post@kranpark.ru , kranpark@irmail.ru             </t>
  </si>
  <si>
    <t>Юр.адрес 665801,Россия г. Ангарск, Иркутской обл., кв-л 252, стр.21</t>
  </si>
  <si>
    <t>Почтовый адрес 665801, г Ангарск, Иркутской обл, а/я 1363</t>
  </si>
  <si>
    <t>тел.(8-395-5)  59-40-52, 54-31-89,54-64-49</t>
  </si>
  <si>
    <t>факс (8-395-5) 54-42-68, 54-24-23</t>
  </si>
  <si>
    <t xml:space="preserve">Стропы изготавливаются в соответствии РД-10-33-93 ТУ СК-001-2009. </t>
  </si>
  <si>
    <t>ИНН3801005214 Р/с 40702810918310002775</t>
  </si>
  <si>
    <t>БИК 042520607 Кор. Счет 30101810900000000607</t>
  </si>
  <si>
    <t>КПП 380101001 ОГРН 1033800517673</t>
  </si>
  <si>
    <t>Коды ОКВЭД 29.22.9; 51.70 ОКПО 22873496</t>
  </si>
  <si>
    <t>в Байкальском банке Сбербанка Росси г. Иркутска</t>
  </si>
  <si>
    <t>в Байкальском банке Сбербанка России г. Иркутска</t>
  </si>
  <si>
    <t xml:space="preserve"> На 01.09.2013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</si>
</sst>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Verdana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Verdana"/>
      <family val="2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Symbol"/>
      <family val="1"/>
    </font>
    <font>
      <b/>
      <sz val="9"/>
      <name val="Arial"/>
      <family val="2"/>
    </font>
    <font>
      <sz val="12"/>
      <name val="Modern No. 20"/>
      <family val="1"/>
    </font>
    <font>
      <b/>
      <sz val="11"/>
      <name val="Verdana"/>
      <family val="2"/>
    </font>
    <font>
      <sz val="11"/>
      <name val="Verdana"/>
      <family val="2"/>
    </font>
    <font>
      <b/>
      <sz val="11"/>
      <name val="Symbol"/>
      <family val="1"/>
    </font>
    <font>
      <b/>
      <sz val="11"/>
      <name val="Arial"/>
      <family val="2"/>
    </font>
    <font>
      <sz val="9"/>
      <name val="Arial"/>
      <family val="0"/>
    </font>
    <font>
      <sz val="8"/>
      <name val="Times New Roman"/>
      <family val="1"/>
    </font>
    <font>
      <b/>
      <sz val="10"/>
      <color indexed="9"/>
      <name val="Arial Cyr"/>
      <family val="0"/>
    </font>
    <font>
      <b/>
      <sz val="14"/>
      <name val="Arial"/>
      <family val="2"/>
    </font>
    <font>
      <sz val="9"/>
      <name val="Times New Roman"/>
      <family val="1"/>
    </font>
    <font>
      <b/>
      <sz val="14"/>
      <name val="Modern No. 20"/>
      <family val="1"/>
    </font>
    <font>
      <b/>
      <sz val="11"/>
      <name val="Modern No. 20"/>
      <family val="1"/>
    </font>
    <font>
      <sz val="11"/>
      <name val="Arial Cyr"/>
      <family val="0"/>
    </font>
    <font>
      <sz val="11"/>
      <name val="Modern No. 20"/>
      <family val="1"/>
    </font>
    <font>
      <b/>
      <sz val="12"/>
      <name val="Arial Cyr"/>
      <family val="0"/>
    </font>
    <font>
      <b/>
      <sz val="14"/>
      <name val="Verdana"/>
      <family val="2"/>
    </font>
    <font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2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1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5" fillId="0" borderId="0" xfId="0" applyFont="1" applyAlignment="1">
      <alignment/>
    </xf>
    <xf numFmtId="1" fontId="14" fillId="0" borderId="1" xfId="0" applyNumberFormat="1" applyFont="1" applyFill="1" applyBorder="1" applyAlignment="1" applyProtection="1">
      <alignment horizontal="center" wrapText="1"/>
      <protection/>
    </xf>
    <xf numFmtId="1" fontId="14" fillId="3" borderId="1" xfId="0" applyNumberFormat="1" applyFont="1" applyFill="1" applyBorder="1" applyAlignment="1" applyProtection="1">
      <alignment horizontal="center" wrapText="1"/>
      <protection/>
    </xf>
    <xf numFmtId="1" fontId="14" fillId="0" borderId="2" xfId="0" applyNumberFormat="1" applyFont="1" applyFill="1" applyBorder="1" applyAlignment="1" applyProtection="1">
      <alignment horizontal="center" wrapText="1"/>
      <protection/>
    </xf>
    <xf numFmtId="1" fontId="14" fillId="3" borderId="2" xfId="0" applyNumberFormat="1" applyFont="1" applyFill="1" applyBorder="1" applyAlignment="1" applyProtection="1">
      <alignment horizontal="center" wrapText="1"/>
      <protection/>
    </xf>
    <xf numFmtId="0" fontId="6" fillId="0" borderId="3" xfId="0" applyFont="1" applyFill="1" applyBorder="1" applyAlignment="1" applyProtection="1">
      <alignment horizontal="center" wrapText="1"/>
      <protection/>
    </xf>
    <xf numFmtId="0" fontId="14" fillId="0" borderId="4" xfId="0" applyFont="1" applyFill="1" applyBorder="1" applyAlignment="1" applyProtection="1">
      <alignment horizontal="center" wrapText="1"/>
      <protection/>
    </xf>
    <xf numFmtId="0" fontId="14" fillId="3" borderId="4" xfId="0" applyFont="1" applyFill="1" applyBorder="1" applyAlignment="1" applyProtection="1">
      <alignment horizontal="center" wrapText="1"/>
      <protection/>
    </xf>
    <xf numFmtId="0" fontId="14" fillId="3" borderId="4" xfId="0" applyFont="1" applyFill="1" applyBorder="1" applyAlignment="1" applyProtection="1">
      <alignment wrapText="1"/>
      <protection/>
    </xf>
    <xf numFmtId="0" fontId="14" fillId="3" borderId="5" xfId="0" applyFont="1" applyFill="1" applyBorder="1" applyAlignment="1" applyProtection="1">
      <alignment wrapText="1"/>
      <protection/>
    </xf>
    <xf numFmtId="0" fontId="16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8" fillId="0" borderId="0" xfId="0" applyNumberFormat="1" applyFont="1" applyBorder="1" applyAlignment="1">
      <alignment vertical="center" wrapText="1"/>
    </xf>
    <xf numFmtId="1" fontId="14" fillId="0" borderId="6" xfId="0" applyNumberFormat="1" applyFont="1" applyFill="1" applyBorder="1" applyAlignment="1" applyProtection="1">
      <alignment horizontal="center" wrapText="1"/>
      <protection/>
    </xf>
    <xf numFmtId="1" fontId="14" fillId="0" borderId="7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9" fillId="2" borderId="8" xfId="0" applyFont="1" applyFill="1" applyBorder="1" applyAlignment="1">
      <alignment wrapText="1"/>
    </xf>
    <xf numFmtId="1" fontId="23" fillId="3" borderId="1" xfId="0" applyNumberFormat="1" applyFont="1" applyFill="1" applyBorder="1" applyAlignment="1" applyProtection="1">
      <alignment horizontal="center" wrapText="1"/>
      <protection/>
    </xf>
    <xf numFmtId="1" fontId="23" fillId="3" borderId="1" xfId="0" applyNumberFormat="1" applyFont="1" applyFill="1" applyBorder="1" applyAlignment="1">
      <alignment horizontal="center" wrapText="1"/>
    </xf>
    <xf numFmtId="1" fontId="23" fillId="3" borderId="2" xfId="0" applyNumberFormat="1" applyFont="1" applyFill="1" applyBorder="1" applyAlignment="1" applyProtection="1">
      <alignment horizontal="center" wrapText="1"/>
      <protection/>
    </xf>
    <xf numFmtId="1" fontId="23" fillId="3" borderId="9" xfId="0" applyNumberFormat="1" applyFont="1" applyFill="1" applyBorder="1" applyAlignment="1">
      <alignment horizontal="center" wrapText="1"/>
    </xf>
    <xf numFmtId="1" fontId="23" fillId="3" borderId="9" xfId="0" applyNumberFormat="1" applyFont="1" applyFill="1" applyBorder="1" applyAlignment="1" applyProtection="1">
      <alignment horizontal="center" wrapText="1"/>
      <protection/>
    </xf>
    <xf numFmtId="1" fontId="23" fillId="3" borderId="10" xfId="0" applyNumberFormat="1" applyFont="1" applyFill="1" applyBorder="1" applyAlignment="1" applyProtection="1">
      <alignment horizontal="center" wrapText="1"/>
      <protection/>
    </xf>
    <xf numFmtId="1" fontId="23" fillId="0" borderId="1" xfId="0" applyNumberFormat="1" applyFont="1" applyFill="1" applyBorder="1" applyAlignment="1">
      <alignment horizontal="center" wrapText="1"/>
    </xf>
    <xf numFmtId="1" fontId="23" fillId="0" borderId="1" xfId="0" applyNumberFormat="1" applyFont="1" applyFill="1" applyBorder="1" applyAlignment="1" applyProtection="1">
      <alignment horizontal="center" wrapText="1"/>
      <protection/>
    </xf>
    <xf numFmtId="1" fontId="23" fillId="0" borderId="2" xfId="0" applyNumberFormat="1" applyFont="1" applyFill="1" applyBorder="1" applyAlignment="1" applyProtection="1">
      <alignment horizontal="center" wrapText="1"/>
      <protection/>
    </xf>
    <xf numFmtId="1" fontId="23" fillId="0" borderId="1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>
      <alignment horizontal="center" wrapText="1"/>
    </xf>
    <xf numFmtId="1" fontId="23" fillId="0" borderId="9" xfId="0" applyNumberFormat="1" applyFont="1" applyFill="1" applyBorder="1" applyAlignment="1">
      <alignment horizontal="center"/>
    </xf>
    <xf numFmtId="1" fontId="23" fillId="0" borderId="9" xfId="0" applyNumberFormat="1" applyFont="1" applyFill="1" applyBorder="1" applyAlignment="1" applyProtection="1">
      <alignment horizontal="center" wrapText="1"/>
      <protection/>
    </xf>
    <xf numFmtId="1" fontId="23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/>
    </xf>
    <xf numFmtId="0" fontId="9" fillId="2" borderId="5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" fontId="23" fillId="0" borderId="14" xfId="0" applyNumberFormat="1" applyFont="1" applyFill="1" applyBorder="1" applyAlignment="1">
      <alignment horizontal="center" wrapText="1"/>
    </xf>
    <xf numFmtId="1" fontId="23" fillId="0" borderId="15" xfId="0" applyNumberFormat="1" applyFont="1" applyFill="1" applyBorder="1" applyAlignment="1">
      <alignment horizontal="center" wrapText="1"/>
    </xf>
    <xf numFmtId="1" fontId="23" fillId="0" borderId="16" xfId="0" applyNumberFormat="1" applyFont="1" applyFill="1" applyBorder="1" applyAlignment="1">
      <alignment horizontal="center" wrapText="1"/>
    </xf>
    <xf numFmtId="1" fontId="23" fillId="0" borderId="17" xfId="0" applyNumberFormat="1" applyFont="1" applyFill="1" applyBorder="1" applyAlignment="1">
      <alignment horizontal="center" wrapText="1"/>
    </xf>
    <xf numFmtId="1" fontId="23" fillId="0" borderId="2" xfId="0" applyNumberFormat="1" applyFont="1" applyFill="1" applyBorder="1" applyAlignment="1">
      <alignment horizontal="center" wrapText="1"/>
    </xf>
    <xf numFmtId="1" fontId="23" fillId="0" borderId="17" xfId="0" applyNumberFormat="1" applyFont="1" applyFill="1" applyBorder="1" applyAlignment="1" applyProtection="1">
      <alignment horizontal="center" wrapText="1"/>
      <protection/>
    </xf>
    <xf numFmtId="1" fontId="23" fillId="3" borderId="17" xfId="0" applyNumberFormat="1" applyFont="1" applyFill="1" applyBorder="1" applyAlignment="1" applyProtection="1">
      <alignment horizontal="center" wrapText="1"/>
      <protection/>
    </xf>
    <xf numFmtId="1" fontId="23" fillId="3" borderId="18" xfId="0" applyNumberFormat="1" applyFont="1" applyFill="1" applyBorder="1" applyAlignment="1" applyProtection="1">
      <alignment horizontal="center" wrapText="1"/>
      <protection/>
    </xf>
    <xf numFmtId="0" fontId="6" fillId="2" borderId="19" xfId="0" applyFont="1" applyFill="1" applyBorder="1" applyAlignment="1">
      <alignment wrapText="1"/>
    </xf>
    <xf numFmtId="1" fontId="23" fillId="0" borderId="6" xfId="0" applyNumberFormat="1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center" wrapText="1"/>
    </xf>
    <xf numFmtId="1" fontId="23" fillId="0" borderId="18" xfId="0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1" fontId="23" fillId="0" borderId="20" xfId="0" applyNumberFormat="1" applyFont="1" applyFill="1" applyBorder="1" applyAlignment="1">
      <alignment horizontal="center" wrapText="1"/>
    </xf>
    <xf numFmtId="1" fontId="23" fillId="0" borderId="7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1" fontId="23" fillId="3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applyProtection="1">
      <alignment horizontal="center" wrapText="1"/>
      <protection/>
    </xf>
    <xf numFmtId="1" fontId="1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horizontal="left"/>
    </xf>
    <xf numFmtId="0" fontId="2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1" fontId="23" fillId="3" borderId="17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>
      <alignment horizontal="center"/>
    </xf>
    <xf numFmtId="0" fontId="33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3" fillId="0" borderId="0" xfId="0" applyFont="1" applyAlignment="1">
      <alignment horizontal="center"/>
    </xf>
    <xf numFmtId="0" fontId="7" fillId="0" borderId="0" xfId="0" applyFont="1" applyAlignment="1">
      <alignment/>
    </xf>
    <xf numFmtId="0" fontId="22" fillId="2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4" fillId="0" borderId="0" xfId="0" applyFont="1" applyFill="1" applyBorder="1" applyAlignment="1">
      <alignment wrapText="1"/>
    </xf>
    <xf numFmtId="164" fontId="3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22" fillId="4" borderId="8" xfId="0" applyFont="1" applyFill="1" applyBorder="1" applyAlignment="1" applyProtection="1">
      <alignment horizontal="center" wrapText="1"/>
      <protection/>
    </xf>
    <xf numFmtId="0" fontId="22" fillId="4" borderId="4" xfId="0" applyFont="1" applyFill="1" applyBorder="1" applyAlignment="1" applyProtection="1">
      <alignment horizontal="center" wrapText="1"/>
      <protection/>
    </xf>
    <xf numFmtId="0" fontId="22" fillId="4" borderId="1" xfId="0" applyFont="1" applyFill="1" applyBorder="1" applyAlignment="1" applyProtection="1">
      <alignment horizontal="center" wrapText="1"/>
      <protection/>
    </xf>
    <xf numFmtId="0" fontId="22" fillId="4" borderId="5" xfId="0" applyFont="1" applyFill="1" applyBorder="1" applyAlignment="1" applyProtection="1">
      <alignment horizontal="center" wrapText="1"/>
      <protection/>
    </xf>
    <xf numFmtId="0" fontId="22" fillId="4" borderId="9" xfId="0" applyFont="1" applyFill="1" applyBorder="1" applyAlignment="1" applyProtection="1">
      <alignment horizontal="center" wrapText="1"/>
      <protection/>
    </xf>
    <xf numFmtId="164" fontId="21" fillId="5" borderId="7" xfId="0" applyNumberFormat="1" applyFont="1" applyFill="1" applyBorder="1" applyAlignment="1">
      <alignment horizontal="center"/>
    </xf>
    <xf numFmtId="164" fontId="21" fillId="5" borderId="2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/>
    </xf>
    <xf numFmtId="0" fontId="22" fillId="5" borderId="8" xfId="0" applyFont="1" applyFill="1" applyBorder="1" applyAlignment="1">
      <alignment wrapText="1"/>
    </xf>
    <xf numFmtId="0" fontId="22" fillId="5" borderId="4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9" fillId="4" borderId="9" xfId="0" applyFont="1" applyFill="1" applyBorder="1" applyAlignment="1">
      <alignment wrapText="1"/>
    </xf>
    <xf numFmtId="0" fontId="9" fillId="4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164" fontId="21" fillId="5" borderId="16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wrapText="1"/>
    </xf>
    <xf numFmtId="0" fontId="22" fillId="4" borderId="10" xfId="0" applyFont="1" applyFill="1" applyBorder="1" applyAlignment="1" applyProtection="1">
      <alignment horizontal="center" wrapText="1"/>
      <protection/>
    </xf>
    <xf numFmtId="0" fontId="22" fillId="4" borderId="1" xfId="0" applyFont="1" applyFill="1" applyBorder="1" applyAlignment="1" applyProtection="1">
      <alignment horizontal="center" wrapText="1"/>
      <protection/>
    </xf>
    <xf numFmtId="0" fontId="22" fillId="4" borderId="2" xfId="0" applyFont="1" applyFill="1" applyBorder="1" applyAlignment="1" applyProtection="1">
      <alignment horizontal="center" wrapText="1"/>
      <protection/>
    </xf>
    <xf numFmtId="2" fontId="21" fillId="4" borderId="1" xfId="0" applyNumberFormat="1" applyFont="1" applyFill="1" applyBorder="1" applyAlignment="1" applyProtection="1">
      <alignment horizontal="center" wrapText="1"/>
      <protection/>
    </xf>
    <xf numFmtId="2" fontId="21" fillId="0" borderId="0" xfId="0" applyNumberFormat="1" applyFont="1" applyFill="1" applyBorder="1" applyAlignment="1">
      <alignment horizontal="center"/>
    </xf>
    <xf numFmtId="2" fontId="21" fillId="4" borderId="20" xfId="0" applyNumberFormat="1" applyFont="1" applyFill="1" applyBorder="1" applyAlignment="1">
      <alignment horizontal="center"/>
    </xf>
    <xf numFmtId="2" fontId="21" fillId="4" borderId="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2" fontId="21" fillId="4" borderId="17" xfId="0" applyNumberFormat="1" applyFont="1" applyFill="1" applyBorder="1" applyAlignment="1" applyProtection="1">
      <alignment horizontal="center" wrapText="1"/>
      <protection/>
    </xf>
    <xf numFmtId="2" fontId="21" fillId="4" borderId="17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2" fontId="21" fillId="4" borderId="17" xfId="0" applyNumberFormat="1" applyFont="1" applyFill="1" applyBorder="1" applyAlignment="1">
      <alignment horizontal="center" wrapText="1"/>
    </xf>
    <xf numFmtId="2" fontId="21" fillId="4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4" borderId="25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2" fontId="21" fillId="4" borderId="28" xfId="0" applyNumberFormat="1" applyFont="1" applyFill="1" applyBorder="1" applyAlignment="1">
      <alignment horizontal="center"/>
    </xf>
    <xf numFmtId="2" fontId="21" fillId="4" borderId="8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2" fontId="21" fillId="4" borderId="25" xfId="0" applyNumberFormat="1" applyFont="1" applyFill="1" applyBorder="1" applyAlignment="1">
      <alignment horizontal="center"/>
    </xf>
    <xf numFmtId="2" fontId="21" fillId="4" borderId="4" xfId="0" applyNumberFormat="1" applyFont="1" applyFill="1" applyBorder="1" applyAlignment="1">
      <alignment horizontal="center"/>
    </xf>
    <xf numFmtId="2" fontId="21" fillId="4" borderId="25" xfId="0" applyNumberFormat="1" applyFont="1" applyFill="1" applyBorder="1" applyAlignment="1" applyProtection="1">
      <alignment horizontal="center" wrapText="1"/>
      <protection/>
    </xf>
    <xf numFmtId="2" fontId="21" fillId="4" borderId="4" xfId="0" applyNumberFormat="1" applyFont="1" applyFill="1" applyBorder="1" applyAlignment="1" applyProtection="1">
      <alignment horizontal="center" wrapText="1"/>
      <protection/>
    </xf>
    <xf numFmtId="2" fontId="21" fillId="4" borderId="25" xfId="0" applyNumberFormat="1" applyFont="1" applyFill="1" applyBorder="1" applyAlignment="1">
      <alignment horizontal="center" wrapText="1"/>
    </xf>
    <xf numFmtId="2" fontId="21" fillId="4" borderId="4" xfId="0" applyNumberFormat="1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 applyProtection="1">
      <alignment horizontal="center" wrapText="1"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4" borderId="15" xfId="0" applyFont="1" applyFill="1" applyBorder="1" applyAlignment="1" applyProtection="1">
      <alignment horizontal="center" wrapText="1"/>
      <protection/>
    </xf>
    <xf numFmtId="0" fontId="22" fillId="4" borderId="16" xfId="0" applyFont="1" applyFill="1" applyBorder="1" applyAlignment="1" applyProtection="1">
      <alignment horizontal="center" wrapText="1"/>
      <protection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2" fillId="4" borderId="2" xfId="0" applyFont="1" applyFill="1" applyBorder="1" applyAlignment="1">
      <alignment horizontal="center" wrapText="1"/>
    </xf>
    <xf numFmtId="0" fontId="22" fillId="4" borderId="34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30" fillId="0" borderId="0" xfId="0" applyFont="1" applyAlignment="1">
      <alignment horizontal="left"/>
    </xf>
    <xf numFmtId="0" fontId="9" fillId="4" borderId="34" xfId="0" applyFont="1" applyFill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center" wrapText="1"/>
    </xf>
    <xf numFmtId="0" fontId="22" fillId="4" borderId="35" xfId="0" applyFont="1" applyFill="1" applyBorder="1" applyAlignment="1">
      <alignment horizontal="center" wrapText="1"/>
    </xf>
    <xf numFmtId="0" fontId="22" fillId="4" borderId="12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2" fontId="21" fillId="4" borderId="14" xfId="0" applyNumberFormat="1" applyFont="1" applyFill="1" applyBorder="1" applyAlignment="1">
      <alignment horizontal="center"/>
    </xf>
    <xf numFmtId="2" fontId="21" fillId="4" borderId="15" xfId="0" applyNumberFormat="1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2" fontId="21" fillId="0" borderId="0" xfId="0" applyNumberFormat="1" applyFont="1" applyFill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2" fontId="21" fillId="4" borderId="36" xfId="0" applyNumberFormat="1" applyFont="1" applyFill="1" applyBorder="1" applyAlignment="1">
      <alignment horizontal="center" wrapText="1"/>
    </xf>
    <xf numFmtId="2" fontId="21" fillId="4" borderId="5" xfId="0" applyNumberFormat="1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7" xfId="0" applyFont="1" applyFill="1" applyBorder="1" applyAlignment="1">
      <alignment horizontal="center" wrapText="1"/>
    </xf>
    <xf numFmtId="0" fontId="22" fillId="4" borderId="18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2" fontId="21" fillId="4" borderId="18" xfId="0" applyNumberFormat="1" applyFont="1" applyFill="1" applyBorder="1" applyAlignment="1">
      <alignment horizontal="center" wrapText="1"/>
    </xf>
    <xf numFmtId="2" fontId="21" fillId="4" borderId="9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4" borderId="38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wrapText="1"/>
    </xf>
    <xf numFmtId="0" fontId="19" fillId="5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2.png" /><Relationship Id="rId5" Type="http://schemas.openxmlformats.org/officeDocument/2006/relationships/image" Target="../media/image4.jpeg" /><Relationship Id="rId6" Type="http://schemas.openxmlformats.org/officeDocument/2006/relationships/image" Target="../media/image7.jpeg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733425</xdr:colOff>
      <xdr:row>46</xdr:row>
      <xdr:rowOff>0</xdr:rowOff>
    </xdr:from>
    <xdr:to>
      <xdr:col>27</xdr:col>
      <xdr:colOff>104775</xdr:colOff>
      <xdr:row>60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0" y="8553450"/>
          <a:ext cx="7905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352425</xdr:colOff>
      <xdr:row>107</xdr:row>
      <xdr:rowOff>0</xdr:rowOff>
    </xdr:from>
    <xdr:to>
      <xdr:col>21</xdr:col>
      <xdr:colOff>409575</xdr:colOff>
      <xdr:row>121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5" y="20469225"/>
          <a:ext cx="8286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390525</xdr:colOff>
      <xdr:row>148</xdr:row>
      <xdr:rowOff>9525</xdr:rowOff>
    </xdr:from>
    <xdr:to>
      <xdr:col>23</xdr:col>
      <xdr:colOff>76200</xdr:colOff>
      <xdr:row>160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28479750"/>
          <a:ext cx="12287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123825</xdr:colOff>
      <xdr:row>24</xdr:row>
      <xdr:rowOff>9525</xdr:rowOff>
    </xdr:from>
    <xdr:to>
      <xdr:col>27</xdr:col>
      <xdr:colOff>19050</xdr:colOff>
      <xdr:row>39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10725" y="4276725"/>
          <a:ext cx="5238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87</xdr:row>
      <xdr:rowOff>0</xdr:rowOff>
    </xdr:from>
    <xdr:to>
      <xdr:col>21</xdr:col>
      <xdr:colOff>104775</xdr:colOff>
      <xdr:row>101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467475" y="16554450"/>
          <a:ext cx="7715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171</xdr:row>
      <xdr:rowOff>142875</xdr:rowOff>
    </xdr:from>
    <xdr:to>
      <xdr:col>0</xdr:col>
      <xdr:colOff>0</xdr:colOff>
      <xdr:row>185</xdr:row>
      <xdr:rowOff>28575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3204150"/>
          <a:ext cx="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180975</xdr:colOff>
      <xdr:row>171</xdr:row>
      <xdr:rowOff>19050</xdr:rowOff>
    </xdr:from>
    <xdr:to>
      <xdr:col>23</xdr:col>
      <xdr:colOff>647700</xdr:colOff>
      <xdr:row>183</xdr:row>
      <xdr:rowOff>66675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43675" y="33080325"/>
          <a:ext cx="20097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0</xdr:rowOff>
    </xdr:from>
    <xdr:to>
      <xdr:col>15</xdr:col>
      <xdr:colOff>685800</xdr:colOff>
      <xdr:row>3</xdr:row>
      <xdr:rowOff>161925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952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65</xdr:row>
      <xdr:rowOff>57150</xdr:rowOff>
    </xdr:from>
    <xdr:to>
      <xdr:col>15</xdr:col>
      <xdr:colOff>704850</xdr:colOff>
      <xdr:row>68</xdr:row>
      <xdr:rowOff>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0125" y="122205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128</xdr:row>
      <xdr:rowOff>57150</xdr:rowOff>
    </xdr:from>
    <xdr:to>
      <xdr:col>15</xdr:col>
      <xdr:colOff>704850</xdr:colOff>
      <xdr:row>131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10125" y="246411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Q194"/>
  <sheetViews>
    <sheetView tabSelected="1" view="pageBreakPreview" zoomScaleSheetLayoutView="100" workbookViewId="0" topLeftCell="A1">
      <selection activeCell="Z18" sqref="Z18"/>
    </sheetView>
  </sheetViews>
  <sheetFormatPr defaultColWidth="9.00390625" defaultRowHeight="12.75"/>
  <cols>
    <col min="1" max="1" width="0.12890625" style="0" customWidth="1"/>
    <col min="2" max="2" width="1.25" style="0" hidden="1" customWidth="1"/>
    <col min="3" max="3" width="2.625" style="0" customWidth="1"/>
    <col min="4" max="4" width="8.00390625" style="0" customWidth="1"/>
    <col min="5" max="5" width="7.625" style="0" customWidth="1"/>
    <col min="6" max="6" width="7.125" style="0" customWidth="1"/>
    <col min="7" max="7" width="11.875" style="0" hidden="1" customWidth="1"/>
    <col min="8" max="8" width="8.625" style="0" customWidth="1"/>
    <col min="9" max="9" width="1.37890625" style="0" hidden="1" customWidth="1"/>
    <col min="11" max="11" width="0" style="0" hidden="1" customWidth="1"/>
    <col min="12" max="12" width="9.375" style="0" customWidth="1"/>
    <col min="13" max="13" width="9.125" style="0" hidden="1" customWidth="1"/>
    <col min="14" max="14" width="10.00390625" style="0" customWidth="1"/>
    <col min="15" max="15" width="9.125" style="0" hidden="1" customWidth="1"/>
    <col min="16" max="16" width="9.75390625" style="0" customWidth="1"/>
    <col min="17" max="17" width="9.125" style="0" hidden="1" customWidth="1"/>
    <col min="18" max="18" width="11.25390625" style="0" customWidth="1"/>
    <col min="19" max="19" width="9.125" style="0" hidden="1" customWidth="1"/>
    <col min="20" max="20" width="10.125" style="0" customWidth="1"/>
    <col min="21" max="21" width="0" style="0" hidden="1" customWidth="1"/>
    <col min="22" max="22" width="10.125" style="0" customWidth="1"/>
    <col min="23" max="23" width="0" style="0" hidden="1" customWidth="1"/>
    <col min="24" max="24" width="10.375" style="0" customWidth="1"/>
    <col min="25" max="25" width="0" style="0" hidden="1" customWidth="1"/>
    <col min="26" max="26" width="10.375" style="0" customWidth="1"/>
    <col min="27" max="27" width="8.25390625" style="0" customWidth="1"/>
    <col min="28" max="28" width="4.00390625" style="0" customWidth="1"/>
  </cols>
  <sheetData>
    <row r="1" ht="7.5" customHeight="1"/>
    <row r="2" spans="4:26" ht="18.75">
      <c r="D2" s="89"/>
      <c r="E2" s="90"/>
      <c r="F2" s="91"/>
      <c r="G2" s="92"/>
      <c r="H2" s="92"/>
      <c r="I2" s="92"/>
      <c r="J2" s="92"/>
      <c r="K2" s="92"/>
      <c r="L2" s="92"/>
      <c r="M2" s="93"/>
      <c r="N2" s="93"/>
      <c r="O2" s="92"/>
      <c r="P2" s="89"/>
      <c r="Q2" s="89"/>
      <c r="R2" s="89"/>
      <c r="S2" s="94"/>
      <c r="T2" s="94"/>
      <c r="U2" s="95"/>
      <c r="V2" s="6"/>
      <c r="W2" s="6"/>
      <c r="X2" s="6"/>
      <c r="Y2" s="6"/>
      <c r="Z2" s="1"/>
    </row>
    <row r="3" spans="4:26" ht="12.75">
      <c r="D3" s="89"/>
      <c r="E3" s="90"/>
      <c r="F3" s="91"/>
      <c r="G3" s="89"/>
      <c r="O3" s="89"/>
      <c r="P3" s="96"/>
      <c r="Q3" s="1" t="s">
        <v>190</v>
      </c>
      <c r="R3" s="96"/>
      <c r="S3" s="96"/>
      <c r="T3" s="96"/>
      <c r="U3" s="96"/>
      <c r="V3" s="96"/>
      <c r="W3" s="6"/>
      <c r="X3" s="6"/>
      <c r="Y3" s="6"/>
      <c r="Z3" s="1"/>
    </row>
    <row r="4" spans="4:26" ht="15.75" customHeight="1">
      <c r="D4" s="89"/>
      <c r="E4" s="90"/>
      <c r="F4" s="91"/>
      <c r="H4" s="97"/>
      <c r="I4" s="97"/>
      <c r="J4" s="97"/>
      <c r="L4" s="97"/>
      <c r="M4" s="97"/>
      <c r="N4" s="97"/>
      <c r="O4" s="97"/>
      <c r="P4" s="89"/>
      <c r="Q4" s="98" t="s">
        <v>191</v>
      </c>
      <c r="R4" s="89"/>
      <c r="S4" s="37"/>
      <c r="V4" s="6"/>
      <c r="W4" s="6"/>
      <c r="X4" s="6"/>
      <c r="Y4" s="6"/>
      <c r="Z4" s="1"/>
    </row>
    <row r="5" spans="4:26" ht="18.75">
      <c r="D5" s="89"/>
      <c r="E5" s="90"/>
      <c r="F5" s="91"/>
      <c r="G5" s="89"/>
      <c r="H5" s="89"/>
      <c r="J5" s="99"/>
      <c r="K5" s="99"/>
      <c r="L5" s="99"/>
      <c r="M5" s="99"/>
      <c r="N5" s="100"/>
      <c r="O5" s="89"/>
      <c r="P5" s="1" t="s">
        <v>190</v>
      </c>
      <c r="Q5" s="101" t="s">
        <v>192</v>
      </c>
      <c r="U5" s="102"/>
      <c r="V5" s="6"/>
      <c r="W5" s="6"/>
      <c r="X5" s="6"/>
      <c r="Y5" s="6"/>
      <c r="Z5" s="1"/>
    </row>
    <row r="6" spans="4:26" ht="18">
      <c r="D6" s="89"/>
      <c r="E6" s="90"/>
      <c r="F6" s="91"/>
      <c r="G6" s="89"/>
      <c r="H6" s="89"/>
      <c r="I6" s="89"/>
      <c r="J6" s="103"/>
      <c r="K6" s="103"/>
      <c r="L6" s="103"/>
      <c r="M6" s="91"/>
      <c r="N6" s="90"/>
      <c r="O6" s="89"/>
      <c r="P6" s="98" t="s">
        <v>191</v>
      </c>
      <c r="Q6" s="89"/>
      <c r="U6" s="102"/>
      <c r="V6" s="6"/>
      <c r="W6" s="6"/>
      <c r="X6" s="6"/>
      <c r="Y6" s="6"/>
      <c r="Z6" s="1"/>
    </row>
    <row r="7" spans="6:29" ht="18.75">
      <c r="F7" s="104"/>
      <c r="G7" s="105"/>
      <c r="H7" s="105"/>
      <c r="I7" s="105"/>
      <c r="J7" s="105"/>
      <c r="K7" s="104"/>
      <c r="L7" s="106"/>
      <c r="M7" s="106"/>
      <c r="N7" s="106"/>
      <c r="O7" s="106"/>
      <c r="P7" s="101" t="s">
        <v>198</v>
      </c>
      <c r="Q7" s="106"/>
      <c r="S7" s="107" t="s">
        <v>193</v>
      </c>
      <c r="T7" s="104"/>
      <c r="V7" s="108"/>
      <c r="W7" s="104"/>
      <c r="X7" s="108"/>
      <c r="Y7" s="108"/>
      <c r="Z7" s="109"/>
      <c r="AA7" s="104"/>
      <c r="AB7" s="104"/>
      <c r="AC7" s="104"/>
    </row>
    <row r="8" spans="6:29" ht="15" customHeight="1">
      <c r="F8" s="104"/>
      <c r="G8" s="106"/>
      <c r="H8" s="106"/>
      <c r="I8" s="106"/>
      <c r="J8" s="106"/>
      <c r="K8" s="104"/>
      <c r="L8" s="106"/>
      <c r="M8" s="106"/>
      <c r="N8" s="106"/>
      <c r="O8" s="106"/>
      <c r="Q8" s="106"/>
      <c r="S8" s="107" t="s">
        <v>194</v>
      </c>
      <c r="T8" s="104"/>
      <c r="V8" s="108"/>
      <c r="W8" s="104"/>
      <c r="X8" s="108"/>
      <c r="Y8" s="108"/>
      <c r="Z8" s="109"/>
      <c r="AA8" s="104"/>
      <c r="AB8" s="104"/>
      <c r="AC8" s="104"/>
    </row>
    <row r="9" spans="6:29" ht="12.75" hidden="1">
      <c r="F9" s="104"/>
      <c r="G9" s="106"/>
      <c r="H9" s="106"/>
      <c r="I9" s="106"/>
      <c r="J9" s="106"/>
      <c r="K9" s="104"/>
      <c r="L9" s="106"/>
      <c r="M9" s="106"/>
      <c r="N9" s="106"/>
      <c r="O9" s="106"/>
      <c r="P9" s="106"/>
      <c r="Q9" s="106"/>
      <c r="R9" s="106"/>
      <c r="S9" s="107" t="s">
        <v>195</v>
      </c>
      <c r="T9" s="109"/>
      <c r="V9" s="109"/>
      <c r="W9" s="104"/>
      <c r="X9" s="109"/>
      <c r="Y9" s="109"/>
      <c r="Z9" s="109"/>
      <c r="AA9" s="104"/>
      <c r="AB9" s="104"/>
      <c r="AC9" s="104"/>
    </row>
    <row r="10" spans="4:26" s="120" customFormat="1" ht="14.25">
      <c r="D10" s="121" t="s">
        <v>203</v>
      </c>
      <c r="G10" s="118"/>
      <c r="H10" s="122"/>
      <c r="I10" s="122"/>
      <c r="J10" s="122"/>
      <c r="L10" s="123"/>
      <c r="M10" s="123"/>
      <c r="N10" s="123"/>
      <c r="O10" s="123"/>
      <c r="P10" s="123"/>
      <c r="Q10" s="123"/>
      <c r="S10" s="118" t="s">
        <v>196</v>
      </c>
      <c r="T10" s="118" t="s">
        <v>208</v>
      </c>
      <c r="V10" s="124"/>
      <c r="X10" s="124"/>
      <c r="Y10" s="124"/>
      <c r="Z10" s="124"/>
    </row>
    <row r="11" spans="4:20" s="120" customFormat="1" ht="14.25">
      <c r="D11" s="118" t="s">
        <v>204</v>
      </c>
      <c r="G11" s="123"/>
      <c r="H11" s="123"/>
      <c r="I11" s="123"/>
      <c r="J11" s="122"/>
      <c r="L11" s="123"/>
      <c r="M11" s="123"/>
      <c r="N11" s="123"/>
      <c r="O11" s="123"/>
      <c r="P11" s="123"/>
      <c r="Q11" s="123"/>
      <c r="S11" s="118" t="s">
        <v>197</v>
      </c>
      <c r="T11" s="118" t="s">
        <v>212</v>
      </c>
    </row>
    <row r="12" spans="4:20" s="120" customFormat="1" ht="15">
      <c r="D12" s="118" t="s">
        <v>205</v>
      </c>
      <c r="E12" s="125"/>
      <c r="T12" s="118" t="s">
        <v>209</v>
      </c>
    </row>
    <row r="13" spans="4:25" s="120" customFormat="1" ht="14.25">
      <c r="D13" s="118" t="s">
        <v>206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S13" s="124"/>
      <c r="T13" s="118" t="s">
        <v>210</v>
      </c>
      <c r="U13" s="124"/>
      <c r="V13" s="124"/>
      <c r="W13" s="124"/>
      <c r="X13" s="124"/>
      <c r="Y13" s="124"/>
    </row>
    <row r="14" spans="4:20" s="120" customFormat="1" ht="14.25">
      <c r="D14" s="118" t="s">
        <v>202</v>
      </c>
      <c r="T14" s="118" t="s">
        <v>211</v>
      </c>
    </row>
    <row r="15" spans="4:18" ht="12.75">
      <c r="D15" s="107"/>
      <c r="R15" s="107"/>
    </row>
    <row r="16" spans="1:26" ht="15" customHeight="1">
      <c r="A16">
        <v>7787897</v>
      </c>
      <c r="D16" s="144" t="s">
        <v>200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 t="s">
        <v>201</v>
      </c>
      <c r="S16" s="145"/>
      <c r="T16" s="145"/>
      <c r="U16" s="145"/>
      <c r="V16" s="145" t="s">
        <v>214</v>
      </c>
      <c r="W16" s="117"/>
      <c r="X16" s="146"/>
      <c r="Y16" s="146"/>
      <c r="Z16" s="146"/>
    </row>
    <row r="17" spans="4:18" ht="6" customHeight="1">
      <c r="D17" s="107"/>
      <c r="R17" s="107"/>
    </row>
    <row r="18" spans="4:18" ht="12.75">
      <c r="D18" s="107"/>
      <c r="R18" s="107"/>
    </row>
    <row r="19" ht="15.75">
      <c r="D19" s="2"/>
    </row>
    <row r="20" spans="4:22" s="12" customFormat="1" ht="16.5" thickBot="1">
      <c r="D20" s="7" t="s">
        <v>0</v>
      </c>
      <c r="E20" s="7"/>
      <c r="P20" s="132" t="s">
        <v>1</v>
      </c>
      <c r="Q20" s="132"/>
      <c r="R20" s="132"/>
      <c r="S20" s="132"/>
      <c r="T20" s="132"/>
      <c r="U20" s="132"/>
      <c r="V20" s="132"/>
    </row>
    <row r="21" spans="1:26" s="12" customFormat="1" ht="15" customHeight="1">
      <c r="A21" s="34"/>
      <c r="B21" s="30"/>
      <c r="D21" s="241" t="s">
        <v>185</v>
      </c>
      <c r="E21" s="165"/>
      <c r="F21" s="231" t="s">
        <v>189</v>
      </c>
      <c r="G21" s="133" t="s">
        <v>2</v>
      </c>
      <c r="H21" s="209" t="s">
        <v>2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0"/>
    </row>
    <row r="22" spans="1:26" s="12" customFormat="1" ht="15" customHeight="1">
      <c r="A22" s="34"/>
      <c r="B22" s="30"/>
      <c r="D22" s="242"/>
      <c r="E22" s="217"/>
      <c r="F22" s="232"/>
      <c r="G22" s="134" t="s">
        <v>3</v>
      </c>
      <c r="H22" s="135" t="s">
        <v>3</v>
      </c>
      <c r="I22" s="155" t="s">
        <v>4</v>
      </c>
      <c r="J22" s="155"/>
      <c r="K22" s="155"/>
      <c r="L22" s="155"/>
      <c r="M22" s="155" t="s">
        <v>5</v>
      </c>
      <c r="N22" s="155"/>
      <c r="O22" s="155"/>
      <c r="P22" s="155"/>
      <c r="Q22" s="155" t="s">
        <v>6</v>
      </c>
      <c r="R22" s="155"/>
      <c r="S22" s="155"/>
      <c r="T22" s="155"/>
      <c r="U22" s="155" t="s">
        <v>7</v>
      </c>
      <c r="V22" s="155"/>
      <c r="W22" s="155"/>
      <c r="X22" s="155"/>
      <c r="Y22" s="155" t="s">
        <v>8</v>
      </c>
      <c r="Z22" s="156" t="s">
        <v>8</v>
      </c>
    </row>
    <row r="23" spans="1:26" s="12" customFormat="1" ht="15" customHeight="1" thickBot="1">
      <c r="A23" s="34"/>
      <c r="B23" s="30"/>
      <c r="D23" s="243"/>
      <c r="E23" s="244"/>
      <c r="F23" s="233"/>
      <c r="G23" s="136" t="s">
        <v>9</v>
      </c>
      <c r="H23" s="137" t="s">
        <v>9</v>
      </c>
      <c r="I23" s="137" t="s">
        <v>9</v>
      </c>
      <c r="J23" s="137" t="s">
        <v>9</v>
      </c>
      <c r="K23" s="137" t="s">
        <v>10</v>
      </c>
      <c r="L23" s="137" t="s">
        <v>10</v>
      </c>
      <c r="M23" s="137" t="s">
        <v>9</v>
      </c>
      <c r="N23" s="137" t="s">
        <v>9</v>
      </c>
      <c r="O23" s="137" t="s">
        <v>10</v>
      </c>
      <c r="P23" s="137" t="s">
        <v>10</v>
      </c>
      <c r="Q23" s="137" t="s">
        <v>9</v>
      </c>
      <c r="R23" s="137" t="s">
        <v>9</v>
      </c>
      <c r="S23" s="137" t="s">
        <v>10</v>
      </c>
      <c r="T23" s="137" t="s">
        <v>10</v>
      </c>
      <c r="U23" s="137" t="s">
        <v>9</v>
      </c>
      <c r="V23" s="137" t="s">
        <v>9</v>
      </c>
      <c r="W23" s="137" t="s">
        <v>10</v>
      </c>
      <c r="X23" s="137" t="s">
        <v>10</v>
      </c>
      <c r="Y23" s="206"/>
      <c r="Z23" s="154"/>
    </row>
    <row r="24" spans="1:26" s="12" customFormat="1" ht="15" customHeight="1">
      <c r="A24" s="31"/>
      <c r="B24" s="32"/>
      <c r="D24" s="189">
        <v>0.5</v>
      </c>
      <c r="E24" s="190"/>
      <c r="F24" s="138">
        <v>7.6</v>
      </c>
      <c r="G24" s="25"/>
      <c r="H24" s="35">
        <f>81*1.1</f>
        <v>89.10000000000001</v>
      </c>
      <c r="I24" s="35">
        <f aca="true" t="shared" si="0" ref="I24:Z24">I25/1.1</f>
        <v>109.09090909090908</v>
      </c>
      <c r="J24" s="35">
        <f>115*1.1</f>
        <v>126.50000000000001</v>
      </c>
      <c r="K24" s="35">
        <f t="shared" si="0"/>
        <v>122.72727272727272</v>
      </c>
      <c r="L24" s="35">
        <f>130*1.1</f>
        <v>143</v>
      </c>
      <c r="M24" s="35">
        <f t="shared" si="0"/>
        <v>136.36363636363635</v>
      </c>
      <c r="N24" s="35">
        <f>144*1.1</f>
        <v>158.4</v>
      </c>
      <c r="O24" s="35">
        <f t="shared" si="0"/>
        <v>154.54545454545453</v>
      </c>
      <c r="P24" s="35">
        <f>163*1.1</f>
        <v>179.3</v>
      </c>
      <c r="Q24" s="35">
        <f t="shared" si="0"/>
        <v>163.63636363636363</v>
      </c>
      <c r="R24" s="35">
        <f>172*1.1</f>
        <v>189.20000000000002</v>
      </c>
      <c r="S24" s="35">
        <f t="shared" si="0"/>
        <v>186.36363636363635</v>
      </c>
      <c r="T24" s="35">
        <f>197*1.1</f>
        <v>216.70000000000002</v>
      </c>
      <c r="U24" s="35">
        <f t="shared" si="0"/>
        <v>190.9090909090909</v>
      </c>
      <c r="V24" s="35">
        <f>201*1.1</f>
        <v>221.10000000000002</v>
      </c>
      <c r="W24" s="35">
        <f t="shared" si="0"/>
        <v>218.18181818181816</v>
      </c>
      <c r="X24" s="35">
        <f>231*1.1</f>
        <v>254.10000000000002</v>
      </c>
      <c r="Y24" s="35">
        <f t="shared" si="0"/>
        <v>31.818181818181817</v>
      </c>
      <c r="Z24" s="36">
        <f t="shared" si="0"/>
        <v>33.53636363636363</v>
      </c>
    </row>
    <row r="25" spans="1:26" s="19" customFormat="1" ht="15" customHeight="1">
      <c r="A25" s="33"/>
      <c r="B25" s="30"/>
      <c r="D25" s="168">
        <v>0.63</v>
      </c>
      <c r="E25" s="169"/>
      <c r="F25" s="139">
        <v>8.3</v>
      </c>
      <c r="G25" s="26" t="s">
        <v>11</v>
      </c>
      <c r="H25" s="21">
        <f>90*1.1</f>
        <v>99.00000000000001</v>
      </c>
      <c r="I25" s="21" t="s">
        <v>12</v>
      </c>
      <c r="J25" s="21">
        <f>126*1.1</f>
        <v>138.60000000000002</v>
      </c>
      <c r="K25" s="21" t="s">
        <v>13</v>
      </c>
      <c r="L25" s="21">
        <f>143*1.1</f>
        <v>157.3</v>
      </c>
      <c r="M25" s="21" t="s">
        <v>14</v>
      </c>
      <c r="N25" s="21">
        <f>158*1.1</f>
        <v>173.8</v>
      </c>
      <c r="O25" s="21" t="s">
        <v>15</v>
      </c>
      <c r="P25" s="21">
        <f>180*1.1</f>
        <v>198.00000000000003</v>
      </c>
      <c r="Q25" s="21" t="s">
        <v>16</v>
      </c>
      <c r="R25" s="21">
        <f>190*1.1</f>
        <v>209.00000000000003</v>
      </c>
      <c r="S25" s="21" t="s">
        <v>17</v>
      </c>
      <c r="T25" s="21">
        <f>217*1.1</f>
        <v>238.70000000000002</v>
      </c>
      <c r="U25" s="21" t="s">
        <v>18</v>
      </c>
      <c r="V25" s="21">
        <f>221*1.1</f>
        <v>243.10000000000002</v>
      </c>
      <c r="W25" s="21" t="s">
        <v>19</v>
      </c>
      <c r="X25" s="21">
        <f>254*1.1</f>
        <v>279.40000000000003</v>
      </c>
      <c r="Y25" s="21" t="s">
        <v>20</v>
      </c>
      <c r="Z25" s="23">
        <f>((Y25*0.36)*0.15)+Y25</f>
        <v>36.89</v>
      </c>
    </row>
    <row r="26" spans="4:26" s="19" customFormat="1" ht="15" customHeight="1">
      <c r="D26" s="168">
        <v>0.8</v>
      </c>
      <c r="E26" s="169"/>
      <c r="F26" s="139">
        <v>9</v>
      </c>
      <c r="G26" s="26"/>
      <c r="H26" s="21">
        <f>134*1.1</f>
        <v>147.4</v>
      </c>
      <c r="I26" s="21">
        <f aca="true" t="shared" si="1" ref="I26:Y26">I25*1.5</f>
        <v>180</v>
      </c>
      <c r="J26" s="21">
        <f>189*1.1</f>
        <v>207.9</v>
      </c>
      <c r="K26" s="21">
        <f t="shared" si="1"/>
        <v>202.5</v>
      </c>
      <c r="L26" s="21">
        <f>215*1.1</f>
        <v>236.50000000000003</v>
      </c>
      <c r="M26" s="21">
        <f t="shared" si="1"/>
        <v>225</v>
      </c>
      <c r="N26" s="21">
        <f>237*1.1</f>
        <v>260.70000000000005</v>
      </c>
      <c r="O26" s="21">
        <f t="shared" si="1"/>
        <v>255</v>
      </c>
      <c r="P26" s="21">
        <f>270*1.1</f>
        <v>297</v>
      </c>
      <c r="Q26" s="21">
        <f t="shared" si="1"/>
        <v>270</v>
      </c>
      <c r="R26" s="21">
        <f>285*1.1</f>
        <v>313.5</v>
      </c>
      <c r="S26" s="21">
        <f t="shared" si="1"/>
        <v>307.5</v>
      </c>
      <c r="T26" s="21">
        <f>326*1.1</f>
        <v>358.6</v>
      </c>
      <c r="U26" s="21">
        <f t="shared" si="1"/>
        <v>315</v>
      </c>
      <c r="V26" s="21">
        <f>332*1.1</f>
        <v>365.20000000000005</v>
      </c>
      <c r="W26" s="21">
        <f t="shared" si="1"/>
        <v>360</v>
      </c>
      <c r="X26" s="21">
        <f>381*1.1</f>
        <v>419.1</v>
      </c>
      <c r="Y26" s="21">
        <f t="shared" si="1"/>
        <v>52.5</v>
      </c>
      <c r="Z26" s="23">
        <v>44</v>
      </c>
    </row>
    <row r="27" spans="4:26" s="19" customFormat="1" ht="15" customHeight="1">
      <c r="D27" s="168">
        <v>1</v>
      </c>
      <c r="E27" s="169"/>
      <c r="F27" s="139">
        <v>11</v>
      </c>
      <c r="G27" s="26" t="s">
        <v>21</v>
      </c>
      <c r="H27" s="21">
        <f>169*1.1</f>
        <v>185.9</v>
      </c>
      <c r="I27" s="21" t="s">
        <v>22</v>
      </c>
      <c r="J27" s="21">
        <f>211*1.1</f>
        <v>232.10000000000002</v>
      </c>
      <c r="K27" s="21" t="s">
        <v>19</v>
      </c>
      <c r="L27" s="21">
        <f>254*1.1</f>
        <v>279.40000000000003</v>
      </c>
      <c r="M27" s="21" t="s">
        <v>23</v>
      </c>
      <c r="N27" s="21">
        <v>274</v>
      </c>
      <c r="O27" s="21" t="s">
        <v>24</v>
      </c>
      <c r="P27" s="21">
        <f>307*1.1</f>
        <v>337.70000000000005</v>
      </c>
      <c r="Q27" s="21" t="s">
        <v>25</v>
      </c>
      <c r="R27" s="21">
        <f>311*1.1</f>
        <v>342.1</v>
      </c>
      <c r="S27" s="21" t="s">
        <v>26</v>
      </c>
      <c r="T27" s="21">
        <f>359*1.1</f>
        <v>394.90000000000003</v>
      </c>
      <c r="U27" s="21" t="s">
        <v>27</v>
      </c>
      <c r="V27" s="21">
        <f>379*1.1</f>
        <v>416.90000000000003</v>
      </c>
      <c r="W27" s="21" t="s">
        <v>28</v>
      </c>
      <c r="X27" s="21">
        <f>423*1.1</f>
        <v>465.3</v>
      </c>
      <c r="Y27" s="21" t="s">
        <v>29</v>
      </c>
      <c r="Z27" s="23">
        <f aca="true" t="shared" si="2" ref="Z27:Z39">((Y27*0.36)*0.15)+Y27</f>
        <v>47.43</v>
      </c>
    </row>
    <row r="28" spans="4:26" s="19" customFormat="1" ht="15" customHeight="1">
      <c r="D28" s="168">
        <v>1.25</v>
      </c>
      <c r="E28" s="169"/>
      <c r="F28" s="139">
        <v>13.5</v>
      </c>
      <c r="G28" s="26" t="s">
        <v>16</v>
      </c>
      <c r="H28" s="21">
        <v>190</v>
      </c>
      <c r="I28" s="21" t="s">
        <v>30</v>
      </c>
      <c r="J28" s="21">
        <v>242</v>
      </c>
      <c r="K28" s="21" t="s">
        <v>31</v>
      </c>
      <c r="L28" s="21">
        <f>285*1.1</f>
        <v>313.5</v>
      </c>
      <c r="M28" s="21" t="s">
        <v>32</v>
      </c>
      <c r="N28" s="21">
        <f>295*1.1</f>
        <v>324.5</v>
      </c>
      <c r="O28" s="21" t="s">
        <v>33</v>
      </c>
      <c r="P28" s="21">
        <f>338*1.1</f>
        <v>371.8</v>
      </c>
      <c r="Q28" s="21" t="s">
        <v>34</v>
      </c>
      <c r="R28" s="21">
        <f>348*1.1</f>
        <v>382.8</v>
      </c>
      <c r="S28" s="21" t="s">
        <v>35</v>
      </c>
      <c r="T28" s="21">
        <f>402*1.1</f>
        <v>442.20000000000005</v>
      </c>
      <c r="U28" s="21" t="s">
        <v>28</v>
      </c>
      <c r="V28" s="21">
        <f>422*1.1</f>
        <v>464.20000000000005</v>
      </c>
      <c r="W28" s="21" t="s">
        <v>36</v>
      </c>
      <c r="X28" s="21">
        <f>465*1.1</f>
        <v>511.50000000000006</v>
      </c>
      <c r="Y28" s="21" t="s">
        <v>37</v>
      </c>
      <c r="Z28" s="23">
        <f t="shared" si="2"/>
        <v>57.97</v>
      </c>
    </row>
    <row r="29" spans="4:26" s="19" customFormat="1" ht="15" customHeight="1">
      <c r="D29" s="175" t="s">
        <v>38</v>
      </c>
      <c r="E29" s="176"/>
      <c r="F29" s="139">
        <v>14</v>
      </c>
      <c r="G29" s="26" t="s">
        <v>22</v>
      </c>
      <c r="H29" s="21">
        <f>211*1.1</f>
        <v>232.10000000000002</v>
      </c>
      <c r="I29" s="21" t="s">
        <v>23</v>
      </c>
      <c r="J29" s="21">
        <f>274*1.1</f>
        <v>301.40000000000003</v>
      </c>
      <c r="K29" s="21" t="s">
        <v>24</v>
      </c>
      <c r="L29" s="21">
        <f>307*1.1</f>
        <v>337.70000000000005</v>
      </c>
      <c r="M29" s="21" t="s">
        <v>34</v>
      </c>
      <c r="N29" s="21">
        <v>348</v>
      </c>
      <c r="O29" s="21" t="s">
        <v>35</v>
      </c>
      <c r="P29" s="21">
        <f>402*1.1</f>
        <v>442.20000000000005</v>
      </c>
      <c r="Q29" s="21" t="s">
        <v>39</v>
      </c>
      <c r="R29" s="21">
        <v>411</v>
      </c>
      <c r="S29" s="21" t="s">
        <v>40</v>
      </c>
      <c r="T29" s="21">
        <v>476</v>
      </c>
      <c r="U29" s="21" t="s">
        <v>41</v>
      </c>
      <c r="V29" s="21">
        <f>485*1.1</f>
        <v>533.5</v>
      </c>
      <c r="W29" s="21" t="s">
        <v>42</v>
      </c>
      <c r="X29" s="21">
        <v>560</v>
      </c>
      <c r="Y29" s="21" t="s">
        <v>43</v>
      </c>
      <c r="Z29" s="23">
        <f t="shared" si="2"/>
        <v>73.78</v>
      </c>
    </row>
    <row r="30" spans="4:26" s="12" customFormat="1" ht="15" customHeight="1">
      <c r="D30" s="168">
        <v>2</v>
      </c>
      <c r="E30" s="169"/>
      <c r="F30" s="139">
        <v>15</v>
      </c>
      <c r="G30" s="27" t="s">
        <v>23</v>
      </c>
      <c r="H30" s="22">
        <f>274*1.1</f>
        <v>301.40000000000003</v>
      </c>
      <c r="I30" s="22" t="s">
        <v>26</v>
      </c>
      <c r="J30" s="22">
        <f>358*1.1</f>
        <v>393.8</v>
      </c>
      <c r="K30" s="22" t="s">
        <v>39</v>
      </c>
      <c r="L30" s="22">
        <f>412*1.1</f>
        <v>453.20000000000005</v>
      </c>
      <c r="M30" s="22" t="s">
        <v>44</v>
      </c>
      <c r="N30" s="22">
        <f>443*1.1</f>
        <v>487.3</v>
      </c>
      <c r="O30" s="22" t="s">
        <v>45</v>
      </c>
      <c r="P30" s="22">
        <v>507</v>
      </c>
      <c r="Q30" s="22" t="s">
        <v>46</v>
      </c>
      <c r="R30" s="22">
        <f>532*1.1</f>
        <v>585.2</v>
      </c>
      <c r="S30" s="22" t="s">
        <v>47</v>
      </c>
      <c r="T30" s="22">
        <f>592*1.1</f>
        <v>651.2</v>
      </c>
      <c r="U30" s="22" t="s">
        <v>48</v>
      </c>
      <c r="V30" s="22">
        <f>622*1.1</f>
        <v>684.2</v>
      </c>
      <c r="W30" s="22" t="s">
        <v>49</v>
      </c>
      <c r="X30" s="22">
        <f>719*1.1</f>
        <v>790.9000000000001</v>
      </c>
      <c r="Y30" s="22" t="s">
        <v>50</v>
      </c>
      <c r="Z30" s="24">
        <f t="shared" si="2"/>
        <v>84.32</v>
      </c>
    </row>
    <row r="31" spans="4:26" s="12" customFormat="1" ht="15" customHeight="1">
      <c r="D31" s="167" t="s">
        <v>51</v>
      </c>
      <c r="E31" s="157"/>
      <c r="F31" s="139">
        <v>16.5</v>
      </c>
      <c r="G31" s="27" t="s">
        <v>33</v>
      </c>
      <c r="H31" s="22">
        <f>337*1.1</f>
        <v>370.70000000000005</v>
      </c>
      <c r="I31" s="22" t="s">
        <v>44</v>
      </c>
      <c r="J31" s="22">
        <v>443</v>
      </c>
      <c r="K31" s="22" t="s">
        <v>52</v>
      </c>
      <c r="L31" s="22">
        <f>513*1.1</f>
        <v>564.3000000000001</v>
      </c>
      <c r="M31" s="22" t="s">
        <v>53</v>
      </c>
      <c r="N31" s="22">
        <f>553*1.1</f>
        <v>608.3000000000001</v>
      </c>
      <c r="O31" s="22" t="s">
        <v>54</v>
      </c>
      <c r="P31" s="22">
        <f>634*1.1</f>
        <v>697.4000000000001</v>
      </c>
      <c r="Q31" s="22" t="s">
        <v>55</v>
      </c>
      <c r="R31" s="22">
        <f>669*1.1</f>
        <v>735.9000000000001</v>
      </c>
      <c r="S31" s="22" t="s">
        <v>56</v>
      </c>
      <c r="T31" s="22">
        <f>761*1.1</f>
        <v>837.1</v>
      </c>
      <c r="U31" s="22" t="s">
        <v>57</v>
      </c>
      <c r="V31" s="22">
        <f>780*1.1</f>
        <v>858.0000000000001</v>
      </c>
      <c r="W31" s="22" t="s">
        <v>58</v>
      </c>
      <c r="X31" s="22">
        <v>898</v>
      </c>
      <c r="Y31" s="22" t="s">
        <v>59</v>
      </c>
      <c r="Z31" s="24">
        <f t="shared" si="2"/>
        <v>115.94</v>
      </c>
    </row>
    <row r="32" spans="4:26" s="12" customFormat="1" ht="15" customHeight="1">
      <c r="D32" s="175" t="s">
        <v>64</v>
      </c>
      <c r="E32" s="176"/>
      <c r="F32" s="139">
        <v>19.5</v>
      </c>
      <c r="G32" s="27"/>
      <c r="H32" s="22"/>
      <c r="I32" s="22" t="s">
        <v>65</v>
      </c>
      <c r="J32" s="22">
        <f>653*1.1</f>
        <v>718.3000000000001</v>
      </c>
      <c r="K32" s="22" t="s">
        <v>66</v>
      </c>
      <c r="L32" s="22">
        <v>750</v>
      </c>
      <c r="M32" s="22" t="s">
        <v>67</v>
      </c>
      <c r="N32" s="22">
        <f>791*1.1</f>
        <v>870.1</v>
      </c>
      <c r="O32" s="22" t="s">
        <v>61</v>
      </c>
      <c r="P32" s="22">
        <f>909*1.1</f>
        <v>999.9000000000001</v>
      </c>
      <c r="Q32" s="22" t="s">
        <v>68</v>
      </c>
      <c r="R32" s="22">
        <f>933*1.1</f>
        <v>1026.3000000000002</v>
      </c>
      <c r="S32" s="22" t="s">
        <v>69</v>
      </c>
      <c r="T32" s="22">
        <f>1078*1.1</f>
        <v>1185.8000000000002</v>
      </c>
      <c r="U32" s="22" t="s">
        <v>70</v>
      </c>
      <c r="V32" s="22">
        <f>1086*1.1</f>
        <v>1194.6000000000001</v>
      </c>
      <c r="W32" s="22" t="s">
        <v>71</v>
      </c>
      <c r="X32" s="22">
        <f>1247*1.1</f>
        <v>1371.7</v>
      </c>
      <c r="Y32" s="22" t="s">
        <v>14</v>
      </c>
      <c r="Z32" s="24">
        <f t="shared" si="2"/>
        <v>158.1</v>
      </c>
    </row>
    <row r="33" spans="4:26" s="12" customFormat="1" ht="15" customHeight="1">
      <c r="D33" s="175" t="s">
        <v>72</v>
      </c>
      <c r="E33" s="176"/>
      <c r="F33" s="139">
        <v>22</v>
      </c>
      <c r="G33" s="27"/>
      <c r="H33" s="22"/>
      <c r="I33" s="22" t="s">
        <v>73</v>
      </c>
      <c r="J33" s="22">
        <f>801*1.1</f>
        <v>881.1</v>
      </c>
      <c r="K33" s="22" t="s">
        <v>62</v>
      </c>
      <c r="L33" s="22">
        <f>941*1.1</f>
        <v>1035.1000000000001</v>
      </c>
      <c r="M33" s="22" t="s">
        <v>74</v>
      </c>
      <c r="N33" s="22">
        <v>954</v>
      </c>
      <c r="O33" s="22" t="s">
        <v>75</v>
      </c>
      <c r="P33" s="22">
        <f>1105*1.1</f>
        <v>1215.5</v>
      </c>
      <c r="Q33" s="22" t="s">
        <v>76</v>
      </c>
      <c r="R33" s="22">
        <f>1107*1.1</f>
        <v>1217.7</v>
      </c>
      <c r="S33" s="22" t="s">
        <v>77</v>
      </c>
      <c r="T33" s="22">
        <f>1290*1.1</f>
        <v>1419.0000000000002</v>
      </c>
      <c r="U33" s="22" t="s">
        <v>78</v>
      </c>
      <c r="V33" s="22">
        <v>1307</v>
      </c>
      <c r="W33" s="22" t="s">
        <v>79</v>
      </c>
      <c r="X33" s="22">
        <v>1469</v>
      </c>
      <c r="Y33" s="22" t="s">
        <v>80</v>
      </c>
      <c r="Z33" s="24">
        <f t="shared" si="2"/>
        <v>173.91</v>
      </c>
    </row>
    <row r="34" spans="4:26" s="12" customFormat="1" ht="15" customHeight="1">
      <c r="D34" s="175" t="s">
        <v>81</v>
      </c>
      <c r="E34" s="176"/>
      <c r="F34" s="139">
        <v>24</v>
      </c>
      <c r="G34" s="27"/>
      <c r="H34" s="22"/>
      <c r="I34" s="22" t="s">
        <v>82</v>
      </c>
      <c r="J34" s="22">
        <f>1043*1.1</f>
        <v>1147.3000000000002</v>
      </c>
      <c r="K34" s="22" t="s">
        <v>83</v>
      </c>
      <c r="L34" s="22">
        <f>1173*1.1</f>
        <v>1290.3000000000002</v>
      </c>
      <c r="M34" s="22" t="s">
        <v>84</v>
      </c>
      <c r="N34" s="22">
        <f>1223*1.1</f>
        <v>1345.3000000000002</v>
      </c>
      <c r="O34" s="22" t="s">
        <v>85</v>
      </c>
      <c r="P34" s="22">
        <f>1395*1.1</f>
        <v>1534.5000000000002</v>
      </c>
      <c r="Q34" s="22" t="s">
        <v>86</v>
      </c>
      <c r="R34" s="22">
        <f>1423*1.1</f>
        <v>1565.3000000000002</v>
      </c>
      <c r="S34" s="22" t="s">
        <v>87</v>
      </c>
      <c r="T34" s="22">
        <f>1649*1.1</f>
        <v>1813.9</v>
      </c>
      <c r="U34" s="22" t="s">
        <v>88</v>
      </c>
      <c r="V34" s="22">
        <f>1665*1.1</f>
        <v>1831.5000000000002</v>
      </c>
      <c r="W34" s="22" t="s">
        <v>89</v>
      </c>
      <c r="X34" s="22">
        <f>1839*1.1</f>
        <v>2022.9</v>
      </c>
      <c r="Y34" s="22" t="s">
        <v>16</v>
      </c>
      <c r="Z34" s="24">
        <f t="shared" si="2"/>
        <v>189.72</v>
      </c>
    </row>
    <row r="35" spans="4:26" s="12" customFormat="1" ht="15" customHeight="1">
      <c r="D35" s="175" t="s">
        <v>90</v>
      </c>
      <c r="E35" s="176"/>
      <c r="F35" s="139">
        <v>27</v>
      </c>
      <c r="G35" s="27"/>
      <c r="H35" s="22"/>
      <c r="I35" s="22" t="s">
        <v>91</v>
      </c>
      <c r="J35" s="22">
        <f>1549*1.1</f>
        <v>1703.9</v>
      </c>
      <c r="K35" s="22" t="s">
        <v>92</v>
      </c>
      <c r="L35" s="22">
        <v>1755</v>
      </c>
      <c r="M35" s="22" t="s">
        <v>93</v>
      </c>
      <c r="N35" s="22">
        <f>1802*1.1</f>
        <v>1982.2000000000003</v>
      </c>
      <c r="O35" s="22" t="s">
        <v>94</v>
      </c>
      <c r="P35" s="22">
        <f>1998*1.1</f>
        <v>2197.8</v>
      </c>
      <c r="Q35" s="22" t="s">
        <v>95</v>
      </c>
      <c r="R35" s="22">
        <f>2045*1.1</f>
        <v>2249.5</v>
      </c>
      <c r="S35" s="22" t="s">
        <v>96</v>
      </c>
      <c r="T35" s="22">
        <f>2357*1.1</f>
        <v>2592.7000000000003</v>
      </c>
      <c r="U35" s="22" t="s">
        <v>97</v>
      </c>
      <c r="V35" s="22">
        <f>2382*1.1</f>
        <v>2620.2000000000003</v>
      </c>
      <c r="W35" s="22" t="s">
        <v>98</v>
      </c>
      <c r="X35" s="22">
        <f>2664*1.1</f>
        <v>2930.4</v>
      </c>
      <c r="Y35" s="22" t="s">
        <v>30</v>
      </c>
      <c r="Z35" s="24">
        <f t="shared" si="2"/>
        <v>242.42</v>
      </c>
    </row>
    <row r="36" spans="4:26" s="12" customFormat="1" ht="15" customHeight="1">
      <c r="D36" s="175" t="s">
        <v>99</v>
      </c>
      <c r="E36" s="176"/>
      <c r="F36" s="139">
        <v>30.5</v>
      </c>
      <c r="G36" s="27"/>
      <c r="H36" s="22"/>
      <c r="I36" s="22" t="s">
        <v>100</v>
      </c>
      <c r="J36" s="22">
        <f>2087*1.1</f>
        <v>2295.7000000000003</v>
      </c>
      <c r="K36" s="22" t="s">
        <v>101</v>
      </c>
      <c r="L36" s="22">
        <f>2748*1.1</f>
        <v>3022.8</v>
      </c>
      <c r="M36" s="22" t="s">
        <v>102</v>
      </c>
      <c r="N36" s="22">
        <f>2403*1.1</f>
        <v>2643.3</v>
      </c>
      <c r="O36" s="22" t="s">
        <v>103</v>
      </c>
      <c r="P36" s="22">
        <f>2758*1.1</f>
        <v>3033.8</v>
      </c>
      <c r="Q36" s="22" t="s">
        <v>104</v>
      </c>
      <c r="R36" s="22">
        <f>2761*1.1</f>
        <v>3037.1000000000004</v>
      </c>
      <c r="S36" s="22" t="s">
        <v>105</v>
      </c>
      <c r="T36" s="22">
        <f>((S36*0.38)*0.15)+S36</f>
        <v>3118.15</v>
      </c>
      <c r="U36" s="22" t="s">
        <v>106</v>
      </c>
      <c r="V36" s="22">
        <f>((U36*0.36)*0.15)+U36</f>
        <v>3172.54</v>
      </c>
      <c r="W36" s="22" t="s">
        <v>107</v>
      </c>
      <c r="X36" s="22">
        <f>3530*1.1</f>
        <v>3883.0000000000005</v>
      </c>
      <c r="Y36" s="22" t="s">
        <v>34</v>
      </c>
      <c r="Z36" s="24">
        <f t="shared" si="2"/>
        <v>347.82</v>
      </c>
    </row>
    <row r="37" spans="4:26" s="12" customFormat="1" ht="15" customHeight="1">
      <c r="D37" s="175" t="s">
        <v>108</v>
      </c>
      <c r="E37" s="176"/>
      <c r="F37" s="139">
        <v>33.5</v>
      </c>
      <c r="G37" s="27"/>
      <c r="H37" s="22"/>
      <c r="I37" s="22"/>
      <c r="J37" s="22"/>
      <c r="K37" s="22"/>
      <c r="L37" s="22"/>
      <c r="M37" s="22" t="s">
        <v>109</v>
      </c>
      <c r="N37" s="22">
        <f>2698*1.1</f>
        <v>2967.8</v>
      </c>
      <c r="O37" s="22" t="s">
        <v>110</v>
      </c>
      <c r="P37" s="22">
        <f>3097*1.1</f>
        <v>3406.7000000000003</v>
      </c>
      <c r="Q37" s="22" t="s">
        <v>111</v>
      </c>
      <c r="R37" s="22">
        <f>3014*1.1</f>
        <v>3315.4</v>
      </c>
      <c r="S37" s="22" t="s">
        <v>112</v>
      </c>
      <c r="T37" s="22">
        <f>3467*1.1</f>
        <v>3813.7000000000003</v>
      </c>
      <c r="U37" s="22" t="s">
        <v>113</v>
      </c>
      <c r="V37" s="22">
        <f>3584*1.1</f>
        <v>3942.4000000000005</v>
      </c>
      <c r="W37" s="22" t="s">
        <v>114</v>
      </c>
      <c r="X37" s="22">
        <f>38691.1</f>
        <v>38691.1</v>
      </c>
      <c r="Y37" s="22" t="s">
        <v>28</v>
      </c>
      <c r="Z37" s="24">
        <f t="shared" si="2"/>
        <v>421.6</v>
      </c>
    </row>
    <row r="38" spans="4:26" s="12" customFormat="1" ht="15" customHeight="1">
      <c r="D38" s="175" t="s">
        <v>115</v>
      </c>
      <c r="E38" s="176"/>
      <c r="F38" s="139">
        <v>37</v>
      </c>
      <c r="G38" s="27"/>
      <c r="H38" s="22"/>
      <c r="I38" s="22"/>
      <c r="J38" s="22"/>
      <c r="K38" s="22"/>
      <c r="L38" s="22"/>
      <c r="M38" s="22" t="s">
        <v>116</v>
      </c>
      <c r="N38" s="22">
        <f>3415*1.1</f>
        <v>3756.5000000000005</v>
      </c>
      <c r="O38" s="22" t="s">
        <v>117</v>
      </c>
      <c r="P38" s="22">
        <f>3953*1.1</f>
        <v>4348.3</v>
      </c>
      <c r="Q38" s="22" t="s">
        <v>118</v>
      </c>
      <c r="R38" s="22">
        <f>3815*1.1</f>
        <v>4196.5</v>
      </c>
      <c r="S38" s="22" t="s">
        <v>119</v>
      </c>
      <c r="T38" s="22">
        <f>4439*1.1</f>
        <v>4882.900000000001</v>
      </c>
      <c r="U38" s="22" t="s">
        <v>120</v>
      </c>
      <c r="V38" s="22">
        <f>4532*1.1</f>
        <v>4985.200000000001</v>
      </c>
      <c r="W38" s="22" t="s">
        <v>121</v>
      </c>
      <c r="X38" s="22">
        <f>4947*1.1</f>
        <v>5441.700000000001</v>
      </c>
      <c r="Y38" s="22" t="s">
        <v>44</v>
      </c>
      <c r="Z38" s="24">
        <f t="shared" si="2"/>
        <v>442.68</v>
      </c>
    </row>
    <row r="39" spans="4:26" s="12" customFormat="1" ht="15" customHeight="1">
      <c r="D39" s="161" t="s">
        <v>122</v>
      </c>
      <c r="E39" s="162"/>
      <c r="F39" s="139">
        <v>42</v>
      </c>
      <c r="G39" s="27"/>
      <c r="H39" s="22"/>
      <c r="I39" s="22"/>
      <c r="J39" s="22"/>
      <c r="K39" s="22"/>
      <c r="L39" s="22"/>
      <c r="M39" s="22"/>
      <c r="N39" s="22"/>
      <c r="O39" s="22"/>
      <c r="P39" s="22"/>
      <c r="Q39" s="22" t="s">
        <v>123</v>
      </c>
      <c r="R39" s="22">
        <f>6703*1.1</f>
        <v>7373.3</v>
      </c>
      <c r="S39" s="22" t="s">
        <v>124</v>
      </c>
      <c r="T39" s="22">
        <f>7695*1.1</f>
        <v>8464.5</v>
      </c>
      <c r="U39" s="22" t="s">
        <v>125</v>
      </c>
      <c r="V39" s="22">
        <f>7800*1.1</f>
        <v>8580</v>
      </c>
      <c r="W39" s="22" t="s">
        <v>126</v>
      </c>
      <c r="X39" s="22">
        <f>8414*1.1</f>
        <v>9255.400000000001</v>
      </c>
      <c r="Y39" s="22" t="s">
        <v>45</v>
      </c>
      <c r="Z39" s="24">
        <f t="shared" si="2"/>
        <v>505.92</v>
      </c>
    </row>
    <row r="40" spans="4:26" s="12" customFormat="1" ht="15" customHeight="1">
      <c r="D40" s="161" t="s">
        <v>127</v>
      </c>
      <c r="E40" s="162"/>
      <c r="F40" s="139">
        <v>47.5</v>
      </c>
      <c r="G40" s="28" t="s">
        <v>128</v>
      </c>
      <c r="H40" s="211" t="s">
        <v>128</v>
      </c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2"/>
    </row>
    <row r="41" spans="4:26" s="12" customFormat="1" ht="15" customHeight="1" thickBot="1">
      <c r="D41" s="163" t="s">
        <v>129</v>
      </c>
      <c r="E41" s="164"/>
      <c r="F41" s="140">
        <v>56</v>
      </c>
      <c r="G41" s="29" t="s">
        <v>128</v>
      </c>
      <c r="H41" s="213" t="s">
        <v>128</v>
      </c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4"/>
    </row>
    <row r="42" ht="12.75">
      <c r="D42" s="4"/>
    </row>
    <row r="43" spans="4:26" s="12" customFormat="1" ht="24.75" customHeight="1" thickBot="1">
      <c r="D43" s="207" t="s">
        <v>186</v>
      </c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4:26" ht="15" customHeight="1">
      <c r="D44" s="241" t="s">
        <v>185</v>
      </c>
      <c r="E44" s="165"/>
      <c r="F44" s="231" t="s">
        <v>189</v>
      </c>
      <c r="G44" s="141" t="s">
        <v>2</v>
      </c>
      <c r="H44" s="165" t="s">
        <v>2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6"/>
    </row>
    <row r="45" spans="4:26" ht="15" customHeight="1">
      <c r="D45" s="242"/>
      <c r="E45" s="217"/>
      <c r="F45" s="232"/>
      <c r="G45" s="142" t="s">
        <v>3</v>
      </c>
      <c r="H45" s="135" t="s">
        <v>3</v>
      </c>
      <c r="I45" s="223" t="s">
        <v>4</v>
      </c>
      <c r="J45" s="224"/>
      <c r="K45" s="224"/>
      <c r="L45" s="225"/>
      <c r="M45" s="217" t="s">
        <v>5</v>
      </c>
      <c r="N45" s="217"/>
      <c r="O45" s="217"/>
      <c r="P45" s="217"/>
      <c r="Q45" s="217" t="s">
        <v>6</v>
      </c>
      <c r="R45" s="217"/>
      <c r="S45" s="217"/>
      <c r="T45" s="217"/>
      <c r="U45" s="217" t="s">
        <v>7</v>
      </c>
      <c r="V45" s="217"/>
      <c r="W45" s="217"/>
      <c r="X45" s="217"/>
      <c r="Y45" s="217" t="s">
        <v>8</v>
      </c>
      <c r="Z45" s="215" t="s">
        <v>8</v>
      </c>
    </row>
    <row r="46" spans="4:26" ht="15" customHeight="1" thickBot="1">
      <c r="D46" s="243"/>
      <c r="E46" s="244"/>
      <c r="F46" s="233"/>
      <c r="G46" s="142" t="s">
        <v>9</v>
      </c>
      <c r="H46" s="143" t="s">
        <v>9</v>
      </c>
      <c r="I46" s="143" t="s">
        <v>9</v>
      </c>
      <c r="J46" s="143" t="s">
        <v>9</v>
      </c>
      <c r="K46" s="143" t="s">
        <v>10</v>
      </c>
      <c r="L46" s="143" t="s">
        <v>10</v>
      </c>
      <c r="M46" s="143" t="s">
        <v>9</v>
      </c>
      <c r="N46" s="143" t="s">
        <v>9</v>
      </c>
      <c r="O46" s="143" t="s">
        <v>10</v>
      </c>
      <c r="P46" s="143" t="s">
        <v>10</v>
      </c>
      <c r="Q46" s="143" t="s">
        <v>9</v>
      </c>
      <c r="R46" s="143" t="s">
        <v>9</v>
      </c>
      <c r="S46" s="143" t="s">
        <v>10</v>
      </c>
      <c r="T46" s="143" t="s">
        <v>10</v>
      </c>
      <c r="U46" s="143" t="s">
        <v>9</v>
      </c>
      <c r="V46" s="143" t="s">
        <v>9</v>
      </c>
      <c r="W46" s="143" t="s">
        <v>10</v>
      </c>
      <c r="X46" s="143" t="s">
        <v>10</v>
      </c>
      <c r="Y46" s="222"/>
      <c r="Z46" s="216"/>
    </row>
    <row r="47" spans="4:26" ht="15" customHeight="1">
      <c r="D47" s="168">
        <v>0.5</v>
      </c>
      <c r="E47" s="169"/>
      <c r="F47" s="139">
        <v>5.6</v>
      </c>
      <c r="G47" s="63"/>
      <c r="H47" s="67">
        <f>59*1.1</f>
        <v>64.9</v>
      </c>
      <c r="I47" s="68">
        <f>I48/1.1</f>
        <v>90.9090909090909</v>
      </c>
      <c r="J47" s="68">
        <f>96*1.1</f>
        <v>105.60000000000001</v>
      </c>
      <c r="K47" s="68"/>
      <c r="L47" s="68">
        <f>115*1.1</f>
        <v>126.50000000000001</v>
      </c>
      <c r="M47" s="68"/>
      <c r="N47" s="68">
        <f>139*1.1</f>
        <v>152.9</v>
      </c>
      <c r="O47" s="68"/>
      <c r="P47" s="68">
        <f>163*1.1</f>
        <v>179.3</v>
      </c>
      <c r="Q47" s="68"/>
      <c r="R47" s="68">
        <f>172*1.1</f>
        <v>189.20000000000002</v>
      </c>
      <c r="S47" s="68"/>
      <c r="T47" s="68">
        <f>211*1.1</f>
        <v>232.10000000000002</v>
      </c>
      <c r="U47" s="68"/>
      <c r="V47" s="68">
        <f>220*1.1</f>
        <v>242.00000000000003</v>
      </c>
      <c r="W47" s="68"/>
      <c r="X47" s="68">
        <f>264*1.1</f>
        <v>290.40000000000003</v>
      </c>
      <c r="Y47" s="68">
        <f>Y48/1.1</f>
        <v>36.36363636363636</v>
      </c>
      <c r="Z47" s="69">
        <f>Z48/1.1</f>
        <v>38.32727272727272</v>
      </c>
    </row>
    <row r="48" spans="4:26" s="12" customFormat="1" ht="15" customHeight="1">
      <c r="D48" s="168">
        <v>0.63</v>
      </c>
      <c r="E48" s="169"/>
      <c r="F48" s="139">
        <v>6.2</v>
      </c>
      <c r="G48" s="64" t="s">
        <v>130</v>
      </c>
      <c r="H48" s="72">
        <f>65*1.1</f>
        <v>71.5</v>
      </c>
      <c r="I48" s="45" t="s">
        <v>131</v>
      </c>
      <c r="J48" s="46">
        <f>105*1.1</f>
        <v>115.50000000000001</v>
      </c>
      <c r="K48" s="45"/>
      <c r="L48" s="46">
        <f>127*1.1</f>
        <v>139.70000000000002</v>
      </c>
      <c r="M48" s="45"/>
      <c r="N48" s="46">
        <f>153*1.1</f>
        <v>168.3</v>
      </c>
      <c r="O48" s="45"/>
      <c r="P48" s="46">
        <f>180*1.1</f>
        <v>198.00000000000003</v>
      </c>
      <c r="Q48" s="45"/>
      <c r="R48" s="46">
        <f>190*1.1</f>
        <v>209.00000000000003</v>
      </c>
      <c r="S48" s="45"/>
      <c r="T48" s="46">
        <f>233*1.1</f>
        <v>256.3</v>
      </c>
      <c r="U48" s="45"/>
      <c r="V48" s="46">
        <f>242*1.1</f>
        <v>266.20000000000005</v>
      </c>
      <c r="W48" s="45"/>
      <c r="X48" s="46">
        <f>291*1.1</f>
        <v>320.1</v>
      </c>
      <c r="Y48" s="45" t="s">
        <v>133</v>
      </c>
      <c r="Z48" s="47">
        <f>((Y48*0.36)*0.15)+Y48</f>
        <v>42.16</v>
      </c>
    </row>
    <row r="49" spans="4:26" s="12" customFormat="1" ht="15" customHeight="1">
      <c r="D49" s="168">
        <v>0.8</v>
      </c>
      <c r="E49" s="169"/>
      <c r="F49" s="139">
        <v>6.9</v>
      </c>
      <c r="G49" s="64"/>
      <c r="H49" s="72">
        <f>97*1.1</f>
        <v>106.7</v>
      </c>
      <c r="I49" s="46">
        <f>I50/1.09</f>
        <v>146.78899082568807</v>
      </c>
      <c r="J49" s="46">
        <f>155*1.1</f>
        <v>170.5</v>
      </c>
      <c r="K49" s="46"/>
      <c r="L49" s="46">
        <f>179*1.1</f>
        <v>196.9</v>
      </c>
      <c r="M49" s="46"/>
      <c r="N49" s="46">
        <f>222*1.1</f>
        <v>244.20000000000002</v>
      </c>
      <c r="O49" s="46"/>
      <c r="P49" s="46">
        <f>242*1.1</f>
        <v>266.20000000000005</v>
      </c>
      <c r="Q49" s="46"/>
      <c r="R49" s="46">
        <f>285*1.1</f>
        <v>313.5</v>
      </c>
      <c r="S49" s="46"/>
      <c r="T49" s="46">
        <f>310*1.1</f>
        <v>341</v>
      </c>
      <c r="U49" s="46"/>
      <c r="V49" s="46">
        <f>247*1.1</f>
        <v>271.70000000000005</v>
      </c>
      <c r="W49" s="46"/>
      <c r="X49" s="46">
        <f>272*1.1</f>
        <v>299.20000000000005</v>
      </c>
      <c r="Y49" s="46">
        <f>Y50/1.09</f>
        <v>50.45871559633027</v>
      </c>
      <c r="Z49" s="47">
        <f>Z50/1.09</f>
        <v>53.183486238532105</v>
      </c>
    </row>
    <row r="50" spans="4:26" s="12" customFormat="1" ht="15" customHeight="1">
      <c r="D50" s="168">
        <v>1</v>
      </c>
      <c r="E50" s="169"/>
      <c r="F50" s="139">
        <v>7.6</v>
      </c>
      <c r="G50" s="64" t="s">
        <v>131</v>
      </c>
      <c r="H50" s="72">
        <f>105*1.1</f>
        <v>115.50000000000001</v>
      </c>
      <c r="I50" s="45" t="s">
        <v>21</v>
      </c>
      <c r="J50" s="46">
        <v>169</v>
      </c>
      <c r="K50" s="45"/>
      <c r="L50" s="46">
        <f>196*1.1</f>
        <v>215.60000000000002</v>
      </c>
      <c r="M50" s="45"/>
      <c r="N50" s="46">
        <f>242*1.1</f>
        <v>266.20000000000005</v>
      </c>
      <c r="O50" s="45"/>
      <c r="P50" s="46">
        <f>264*1.1</f>
        <v>290.40000000000003</v>
      </c>
      <c r="Q50" s="45"/>
      <c r="R50" s="46">
        <f>311*1.1</f>
        <v>342.1</v>
      </c>
      <c r="S50" s="45"/>
      <c r="T50" s="46">
        <f>338*1.1</f>
        <v>371.8</v>
      </c>
      <c r="U50" s="45"/>
      <c r="V50" s="46">
        <f>269*1.1</f>
        <v>295.90000000000003</v>
      </c>
      <c r="W50" s="45"/>
      <c r="X50" s="46">
        <f>296*1.1</f>
        <v>325.6</v>
      </c>
      <c r="Y50" s="45" t="s">
        <v>37</v>
      </c>
      <c r="Z50" s="47">
        <f aca="true" t="shared" si="3" ref="Z50:Z62">((Y50*0.36)*0.15)+Y50</f>
        <v>57.97</v>
      </c>
    </row>
    <row r="51" spans="4:26" s="12" customFormat="1" ht="15" customHeight="1">
      <c r="D51" s="175" t="s">
        <v>38</v>
      </c>
      <c r="E51" s="176"/>
      <c r="F51" s="139">
        <v>9.9</v>
      </c>
      <c r="G51" s="64" t="s">
        <v>134</v>
      </c>
      <c r="H51" s="72">
        <f>200*1.1</f>
        <v>220.00000000000003</v>
      </c>
      <c r="I51" s="45" t="s">
        <v>24</v>
      </c>
      <c r="J51" s="46">
        <f>306*1.1</f>
        <v>336.6</v>
      </c>
      <c r="K51" s="45"/>
      <c r="L51" s="46">
        <f>344*1.1</f>
        <v>378.40000000000003</v>
      </c>
      <c r="M51" s="45"/>
      <c r="N51" s="46">
        <f>401*1.1</f>
        <v>441.1</v>
      </c>
      <c r="O51" s="45"/>
      <c r="P51" s="46">
        <f>465*1.1</f>
        <v>511.50000000000006</v>
      </c>
      <c r="Q51" s="45"/>
      <c r="R51" s="46">
        <f>516*1.1</f>
        <v>567.6</v>
      </c>
      <c r="S51" s="45"/>
      <c r="T51" s="46">
        <f>592*1.1</f>
        <v>651.2</v>
      </c>
      <c r="U51" s="45"/>
      <c r="V51" s="46">
        <f>622*1.1</f>
        <v>684.2</v>
      </c>
      <c r="W51" s="45"/>
      <c r="X51" s="46">
        <f>729*1.1</f>
        <v>801.9000000000001</v>
      </c>
      <c r="Y51" s="45" t="s">
        <v>50</v>
      </c>
      <c r="Z51" s="47">
        <f t="shared" si="3"/>
        <v>84.32</v>
      </c>
    </row>
    <row r="52" spans="4:26" s="12" customFormat="1" ht="15" customHeight="1">
      <c r="D52" s="168">
        <v>2</v>
      </c>
      <c r="E52" s="169"/>
      <c r="F52" s="139">
        <v>11</v>
      </c>
      <c r="G52" s="64" t="s">
        <v>30</v>
      </c>
      <c r="H52" s="72">
        <v>242</v>
      </c>
      <c r="I52" s="45" t="s">
        <v>26</v>
      </c>
      <c r="J52" s="46">
        <f>358*1.1</f>
        <v>393.8</v>
      </c>
      <c r="K52" s="45"/>
      <c r="L52" s="46">
        <f>412*1.1</f>
        <v>453.20000000000005</v>
      </c>
      <c r="M52" s="45"/>
      <c r="N52" s="46">
        <f>453*1.1</f>
        <v>498.30000000000007</v>
      </c>
      <c r="O52" s="45"/>
      <c r="P52" s="46">
        <f>507*1.1</f>
        <v>557.7</v>
      </c>
      <c r="Q52" s="45"/>
      <c r="R52" s="46">
        <f>569*1.1</f>
        <v>625.9000000000001</v>
      </c>
      <c r="S52" s="45"/>
      <c r="T52" s="46">
        <f>645*1.1</f>
        <v>709.5000000000001</v>
      </c>
      <c r="U52" s="45"/>
      <c r="V52" s="46">
        <f>685*1.1</f>
        <v>753.5000000000001</v>
      </c>
      <c r="W52" s="45"/>
      <c r="X52" s="46">
        <f>761*1.1</f>
        <v>837.1</v>
      </c>
      <c r="Y52" s="45" t="s">
        <v>131</v>
      </c>
      <c r="Z52" s="47">
        <f t="shared" si="3"/>
        <v>105.4</v>
      </c>
    </row>
    <row r="53" spans="4:26" s="12" customFormat="1" ht="15" customHeight="1">
      <c r="D53" s="175" t="s">
        <v>64</v>
      </c>
      <c r="E53" s="176"/>
      <c r="F53" s="139">
        <v>14</v>
      </c>
      <c r="G53" s="64" t="s">
        <v>136</v>
      </c>
      <c r="H53" s="72">
        <f>279*1.1</f>
        <v>306.90000000000003</v>
      </c>
      <c r="I53" s="45" t="s">
        <v>36</v>
      </c>
      <c r="J53" s="46">
        <f>464*1.1</f>
        <v>510.40000000000003</v>
      </c>
      <c r="K53" s="45"/>
      <c r="L53" s="46">
        <f>476*1.1</f>
        <v>523.6</v>
      </c>
      <c r="M53" s="45"/>
      <c r="N53" s="46">
        <f>601*1.1</f>
        <v>661.1</v>
      </c>
      <c r="O53" s="45"/>
      <c r="P53" s="46">
        <f>624*1.1</f>
        <v>686.4000000000001</v>
      </c>
      <c r="Q53" s="45"/>
      <c r="R53" s="46">
        <f>717*1.1</f>
        <v>788.7</v>
      </c>
      <c r="S53" s="45"/>
      <c r="T53" s="46">
        <f>772*1.1</f>
        <v>849.2</v>
      </c>
      <c r="U53" s="45"/>
      <c r="V53" s="46">
        <f>822*1.1</f>
        <v>904.2</v>
      </c>
      <c r="W53" s="45"/>
      <c r="X53" s="46">
        <f>909*1.1</f>
        <v>999.9000000000001</v>
      </c>
      <c r="Y53" s="45" t="s">
        <v>12</v>
      </c>
      <c r="Z53" s="47">
        <f t="shared" si="3"/>
        <v>126.48</v>
      </c>
    </row>
    <row r="54" spans="4:26" s="12" customFormat="1" ht="15" customHeight="1">
      <c r="D54" s="175" t="s">
        <v>81</v>
      </c>
      <c r="E54" s="176"/>
      <c r="F54" s="139">
        <v>16.5</v>
      </c>
      <c r="G54" s="64"/>
      <c r="H54" s="72"/>
      <c r="I54" s="45" t="s">
        <v>135</v>
      </c>
      <c r="J54" s="46">
        <f>643*1.1</f>
        <v>707.3000000000001</v>
      </c>
      <c r="K54" s="45"/>
      <c r="L54" s="46">
        <f>745*1.1</f>
        <v>819.5000000000001</v>
      </c>
      <c r="M54" s="45"/>
      <c r="N54" s="46">
        <f>875*1.1</f>
        <v>962.5000000000001</v>
      </c>
      <c r="O54" s="45"/>
      <c r="P54" s="46">
        <f>972*1.1</f>
        <v>1069.2</v>
      </c>
      <c r="Q54" s="45"/>
      <c r="R54" s="46">
        <f>1075*1.1</f>
        <v>1182.5</v>
      </c>
      <c r="S54" s="45"/>
      <c r="T54" s="46">
        <f>1247*1.1</f>
        <v>1371.7</v>
      </c>
      <c r="U54" s="45"/>
      <c r="V54" s="46">
        <f>1328*1.1</f>
        <v>1460.8000000000002</v>
      </c>
      <c r="W54" s="45"/>
      <c r="X54" s="46">
        <f>1469*1.1</f>
        <v>1615.9</v>
      </c>
      <c r="Y54" s="45" t="s">
        <v>139</v>
      </c>
      <c r="Z54" s="47">
        <f t="shared" si="3"/>
        <v>205.53</v>
      </c>
    </row>
    <row r="55" spans="4:26" s="12" customFormat="1" ht="15" customHeight="1">
      <c r="D55" s="175" t="s">
        <v>90</v>
      </c>
      <c r="E55" s="176"/>
      <c r="F55" s="139">
        <v>19.5</v>
      </c>
      <c r="G55" s="64"/>
      <c r="H55" s="72"/>
      <c r="I55" s="45" t="s">
        <v>61</v>
      </c>
      <c r="J55" s="46">
        <f>906*1.1</f>
        <v>996.6000000000001</v>
      </c>
      <c r="K55" s="45"/>
      <c r="L55" s="46">
        <f>1020*1.1</f>
        <v>1122</v>
      </c>
      <c r="M55" s="45"/>
      <c r="N55" s="46">
        <f>1191*1.1</f>
        <v>1310.1000000000001</v>
      </c>
      <c r="O55" s="45"/>
      <c r="P55" s="46">
        <f>1321*1.1</f>
        <v>1453.1000000000001</v>
      </c>
      <c r="Q55" s="45"/>
      <c r="R55" s="46">
        <f>1433*1.1</f>
        <v>1576.3000000000002</v>
      </c>
      <c r="S55" s="45"/>
      <c r="T55" s="46">
        <f>1776*1.1</f>
        <v>1953.6000000000001</v>
      </c>
      <c r="U55" s="45"/>
      <c r="V55" s="46">
        <f>1697*1.1</f>
        <v>1866.7</v>
      </c>
      <c r="W55" s="45"/>
      <c r="X55" s="46">
        <f>2019*1.1</f>
        <v>2220.9</v>
      </c>
      <c r="Y55" s="45" t="s">
        <v>140</v>
      </c>
      <c r="Z55" s="47">
        <f t="shared" si="3"/>
        <v>258.23</v>
      </c>
    </row>
    <row r="56" spans="4:26" s="12" customFormat="1" ht="15" customHeight="1">
      <c r="D56" s="175" t="s">
        <v>99</v>
      </c>
      <c r="E56" s="176"/>
      <c r="F56" s="139">
        <v>21</v>
      </c>
      <c r="G56" s="64"/>
      <c r="H56" s="72"/>
      <c r="I56" s="45" t="s">
        <v>69</v>
      </c>
      <c r="J56" s="46">
        <f>1075*1.1</f>
        <v>1182.5</v>
      </c>
      <c r="K56" s="45"/>
      <c r="L56" s="46">
        <f>1258*1.1</f>
        <v>1383.8000000000002</v>
      </c>
      <c r="M56" s="45"/>
      <c r="N56" s="46">
        <f>1412*1.1</f>
        <v>1553.2</v>
      </c>
      <c r="O56" s="45"/>
      <c r="P56" s="46">
        <f>1617*1.1</f>
        <v>1778.7</v>
      </c>
      <c r="Q56" s="45"/>
      <c r="R56" s="46">
        <f>1697*1.1</f>
        <v>1866.7</v>
      </c>
      <c r="S56" s="45"/>
      <c r="T56" s="46">
        <f>1966*1.1</f>
        <v>2162.6000000000004</v>
      </c>
      <c r="U56" s="45"/>
      <c r="V56" s="46">
        <f>2034*1.1</f>
        <v>2237.4</v>
      </c>
      <c r="W56" s="45"/>
      <c r="X56" s="46">
        <f>2389*1.1</f>
        <v>2627.9</v>
      </c>
      <c r="Y56" s="45" t="s">
        <v>141</v>
      </c>
      <c r="Z56" s="47">
        <f t="shared" si="3"/>
        <v>300.39</v>
      </c>
    </row>
    <row r="57" spans="4:26" s="12" customFormat="1" ht="15" customHeight="1">
      <c r="D57" s="175" t="s">
        <v>108</v>
      </c>
      <c r="E57" s="176"/>
      <c r="F57" s="139">
        <v>24</v>
      </c>
      <c r="G57" s="64"/>
      <c r="H57" s="72"/>
      <c r="I57" s="45" t="s">
        <v>142</v>
      </c>
      <c r="J57" s="46">
        <f>1360*1.1</f>
        <v>1496.0000000000002</v>
      </c>
      <c r="K57" s="45"/>
      <c r="L57" s="46">
        <f>1469*1.1</f>
        <v>1615.9</v>
      </c>
      <c r="M57" s="45"/>
      <c r="N57" s="46">
        <f>1729*1.1</f>
        <v>1901.9</v>
      </c>
      <c r="O57" s="45"/>
      <c r="P57" s="46">
        <f>1924*1.1</f>
        <v>2116.4</v>
      </c>
      <c r="Q57" s="45"/>
      <c r="R57" s="46">
        <f>2150*1.1</f>
        <v>2365</v>
      </c>
      <c r="S57" s="45"/>
      <c r="T57" s="46">
        <f>2526*1.1</f>
        <v>2778.6000000000004</v>
      </c>
      <c r="U57" s="45"/>
      <c r="V57" s="46">
        <f>2540*1.1</f>
        <v>2794</v>
      </c>
      <c r="W57" s="45"/>
      <c r="X57" s="46">
        <f>2780*1.1</f>
        <v>3058.0000000000005</v>
      </c>
      <c r="Y57" s="45" t="s">
        <v>145</v>
      </c>
      <c r="Z57" s="47">
        <f t="shared" si="3"/>
        <v>368.9</v>
      </c>
    </row>
    <row r="58" spans="4:26" s="12" customFormat="1" ht="15" customHeight="1">
      <c r="D58" s="175" t="s">
        <v>115</v>
      </c>
      <c r="E58" s="176"/>
      <c r="F58" s="139">
        <v>27</v>
      </c>
      <c r="G58" s="64"/>
      <c r="H58" s="72"/>
      <c r="I58" s="45"/>
      <c r="J58" s="45"/>
      <c r="K58" s="45"/>
      <c r="L58" s="45"/>
      <c r="M58" s="45"/>
      <c r="N58" s="46">
        <f>2451*1.1</f>
        <v>2696.1000000000004</v>
      </c>
      <c r="O58" s="45"/>
      <c r="P58" s="46">
        <f>2664*1.1</f>
        <v>2930.4</v>
      </c>
      <c r="Q58" s="45"/>
      <c r="R58" s="46">
        <f>2867*1.1</f>
        <v>3153.7000000000003</v>
      </c>
      <c r="S58" s="45"/>
      <c r="T58" s="46">
        <f>3277*1.1</f>
        <v>3604.7000000000003</v>
      </c>
      <c r="U58" s="45"/>
      <c r="V58" s="46">
        <f>3373*1.1</f>
        <v>3710.3</v>
      </c>
      <c r="W58" s="45"/>
      <c r="X58" s="46">
        <f>3763*1.1</f>
        <v>4139.3</v>
      </c>
      <c r="Y58" s="45" t="s">
        <v>147</v>
      </c>
      <c r="Z58" s="47">
        <f t="shared" si="3"/>
        <v>432.14</v>
      </c>
    </row>
    <row r="59" spans="4:26" s="12" customFormat="1" ht="15" customHeight="1">
      <c r="D59" s="175" t="s">
        <v>122</v>
      </c>
      <c r="E59" s="176"/>
      <c r="F59" s="139">
        <v>30.5</v>
      </c>
      <c r="G59" s="64"/>
      <c r="H59" s="72"/>
      <c r="I59" s="45"/>
      <c r="J59" s="45"/>
      <c r="K59" s="48"/>
      <c r="L59" s="48"/>
      <c r="M59" s="45"/>
      <c r="N59" s="46">
        <f>3246*1.1</f>
        <v>3570.6000000000004</v>
      </c>
      <c r="O59" s="45"/>
      <c r="P59" s="46">
        <f>3573*1.1</f>
        <v>3930.3</v>
      </c>
      <c r="Q59" s="45"/>
      <c r="R59" s="46">
        <f>3910*1.1</f>
        <v>4301</v>
      </c>
      <c r="S59" s="45"/>
      <c r="T59" s="46">
        <f>4334*1.1</f>
        <v>4767.400000000001</v>
      </c>
      <c r="U59" s="45"/>
      <c r="V59" s="46">
        <f>4574*1.1</f>
        <v>5031.400000000001</v>
      </c>
      <c r="W59" s="45"/>
      <c r="X59" s="46">
        <f>4947*1.1</f>
        <v>5441.700000000001</v>
      </c>
      <c r="Y59" s="45" t="s">
        <v>60</v>
      </c>
      <c r="Z59" s="47">
        <f t="shared" si="3"/>
        <v>611.32</v>
      </c>
    </row>
    <row r="60" spans="4:26" s="12" customFormat="1" ht="15" customHeight="1">
      <c r="D60" s="175" t="s">
        <v>127</v>
      </c>
      <c r="E60" s="176"/>
      <c r="F60" s="139">
        <v>33.5</v>
      </c>
      <c r="G60" s="64"/>
      <c r="H60" s="70"/>
      <c r="I60" s="45"/>
      <c r="J60" s="45"/>
      <c r="K60" s="48"/>
      <c r="L60" s="48"/>
      <c r="M60" s="45"/>
      <c r="N60" s="46">
        <f>4026*1.1</f>
        <v>4428.6</v>
      </c>
      <c r="O60" s="45"/>
      <c r="P60" s="46">
        <f>4640*1.3</f>
        <v>6032</v>
      </c>
      <c r="Q60" s="45"/>
      <c r="R60" s="46">
        <f>4806*1.1</f>
        <v>5286.6</v>
      </c>
      <c r="S60" s="45"/>
      <c r="T60" s="46">
        <f>5496*1.1</f>
        <v>6045.6</v>
      </c>
      <c r="U60" s="45"/>
      <c r="V60" s="46">
        <f>5144*1.1</f>
        <v>5658.400000000001</v>
      </c>
      <c r="W60" s="45"/>
      <c r="X60" s="46">
        <f>5940*1.1</f>
        <v>6534.000000000001</v>
      </c>
      <c r="Y60" s="45" t="s">
        <v>148</v>
      </c>
      <c r="Z60" s="47">
        <f t="shared" si="3"/>
        <v>674.56</v>
      </c>
    </row>
    <row r="61" spans="4:26" s="12" customFormat="1" ht="15" customHeight="1">
      <c r="D61" s="175" t="s">
        <v>129</v>
      </c>
      <c r="E61" s="176"/>
      <c r="F61" s="139">
        <v>37</v>
      </c>
      <c r="G61" s="64"/>
      <c r="H61" s="70"/>
      <c r="I61" s="45"/>
      <c r="J61" s="45"/>
      <c r="K61" s="48"/>
      <c r="L61" s="48"/>
      <c r="M61" s="45"/>
      <c r="N61" s="46">
        <f>5523*1.1</f>
        <v>6075.3</v>
      </c>
      <c r="O61" s="45"/>
      <c r="P61" s="46">
        <f>6363*1.1</f>
        <v>6999.3</v>
      </c>
      <c r="Q61" s="45"/>
      <c r="R61" s="46">
        <f>6725*1.1</f>
        <v>7397.500000000001</v>
      </c>
      <c r="S61" s="45"/>
      <c r="T61" s="46">
        <f>7695*1.1</f>
        <v>8464.5</v>
      </c>
      <c r="U61" s="45"/>
      <c r="V61" s="46">
        <f>7568*1.1</f>
        <v>8324.800000000001</v>
      </c>
      <c r="W61" s="45"/>
      <c r="X61" s="46">
        <f>8710*1.1</f>
        <v>9581</v>
      </c>
      <c r="Y61" s="45" t="s">
        <v>56</v>
      </c>
      <c r="Z61" s="47">
        <f t="shared" si="3"/>
        <v>758.88</v>
      </c>
    </row>
    <row r="62" spans="4:26" s="12" customFormat="1" ht="15" customHeight="1" thickBot="1">
      <c r="D62" s="245">
        <v>32</v>
      </c>
      <c r="E62" s="246"/>
      <c r="F62" s="140">
        <v>42</v>
      </c>
      <c r="G62" s="77"/>
      <c r="H62" s="78"/>
      <c r="I62" s="49"/>
      <c r="J62" s="49"/>
      <c r="K62" s="50"/>
      <c r="L62" s="50"/>
      <c r="M62" s="49"/>
      <c r="N62" s="51">
        <f>11826*1.1</f>
        <v>13008.6</v>
      </c>
      <c r="O62" s="49"/>
      <c r="P62" s="51">
        <f>13614*1.1</f>
        <v>14975.400000000001</v>
      </c>
      <c r="Q62" s="49"/>
      <c r="R62" s="51">
        <f>13597*1.1</f>
        <v>14956.7</v>
      </c>
      <c r="S62" s="49"/>
      <c r="T62" s="51">
        <f>14777*1.1</f>
        <v>16254.7</v>
      </c>
      <c r="U62" s="49"/>
      <c r="V62" s="51">
        <f>14124*1.1</f>
        <v>15536.400000000001</v>
      </c>
      <c r="W62" s="49"/>
      <c r="X62" s="51">
        <f>15844*1.1</f>
        <v>17428.4</v>
      </c>
      <c r="Y62" s="49" t="s">
        <v>149</v>
      </c>
      <c r="Z62" s="52">
        <f t="shared" si="3"/>
        <v>990.76</v>
      </c>
    </row>
    <row r="64" ht="15.75">
      <c r="D64" s="5"/>
    </row>
    <row r="65" ht="15.75">
      <c r="D65" s="5"/>
    </row>
    <row r="66" spans="4:25" ht="15.75" customHeight="1"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5"/>
    </row>
    <row r="67" spans="4:25" ht="15.75" customHeight="1"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89"/>
      <c r="Q67" s="20"/>
      <c r="R67" s="20"/>
      <c r="S67" s="20"/>
      <c r="T67" s="20"/>
      <c r="U67" s="20"/>
      <c r="V67" s="20"/>
      <c r="W67" s="20"/>
      <c r="X67" s="20"/>
      <c r="Y67" s="5"/>
    </row>
    <row r="68" spans="4:25" ht="15.75" customHeight="1"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89"/>
      <c r="Q68" s="20"/>
      <c r="R68" s="20"/>
      <c r="S68" s="20"/>
      <c r="T68" s="20"/>
      <c r="U68" s="20"/>
      <c r="V68" s="20"/>
      <c r="W68" s="20"/>
      <c r="X68" s="20"/>
      <c r="Y68" s="5"/>
    </row>
    <row r="69" spans="16:25" ht="15.75" customHeight="1">
      <c r="P69" s="96"/>
      <c r="S69" s="30"/>
      <c r="T69" s="30"/>
      <c r="U69" s="20"/>
      <c r="V69" s="20"/>
      <c r="W69" s="20"/>
      <c r="X69" s="20"/>
      <c r="Y69" s="5"/>
    </row>
    <row r="70" spans="16:25" ht="15.75" customHeight="1">
      <c r="P70" s="1" t="s">
        <v>190</v>
      </c>
      <c r="S70" s="30"/>
      <c r="T70" s="30"/>
      <c r="U70" s="20"/>
      <c r="V70" s="20"/>
      <c r="W70" s="20"/>
      <c r="X70" s="20"/>
      <c r="Y70" s="5"/>
    </row>
    <row r="71" spans="16:25" ht="15.75" customHeight="1">
      <c r="P71" s="98" t="s">
        <v>191</v>
      </c>
      <c r="S71" s="16"/>
      <c r="T71" s="53"/>
      <c r="U71" s="20"/>
      <c r="V71" s="20"/>
      <c r="W71" s="20"/>
      <c r="X71" s="20"/>
      <c r="Y71" s="5"/>
    </row>
    <row r="72" spans="16:25" ht="15.75" customHeight="1">
      <c r="P72" s="101" t="s">
        <v>198</v>
      </c>
      <c r="S72" s="16"/>
      <c r="T72" s="53"/>
      <c r="U72" s="20"/>
      <c r="V72" s="20"/>
      <c r="W72" s="20"/>
      <c r="X72" s="20"/>
      <c r="Y72" s="5"/>
    </row>
    <row r="73" spans="16:25" ht="15.75" customHeight="1">
      <c r="P73" s="101"/>
      <c r="S73" s="16"/>
      <c r="T73" s="53"/>
      <c r="U73" s="20"/>
      <c r="V73" s="20"/>
      <c r="W73" s="20"/>
      <c r="X73" s="20"/>
      <c r="Y73" s="5"/>
    </row>
    <row r="74" spans="4:25" s="120" customFormat="1" ht="15.75" customHeight="1">
      <c r="D74" s="121" t="s">
        <v>203</v>
      </c>
      <c r="S74" s="126"/>
      <c r="T74" s="118" t="s">
        <v>208</v>
      </c>
      <c r="U74" s="127"/>
      <c r="V74" s="127"/>
      <c r="W74" s="127"/>
      <c r="X74" s="127"/>
      <c r="Y74" s="128"/>
    </row>
    <row r="75" spans="4:25" s="120" customFormat="1" ht="15.75" customHeight="1">
      <c r="D75" s="118" t="s">
        <v>204</v>
      </c>
      <c r="S75" s="126"/>
      <c r="T75" s="118" t="s">
        <v>213</v>
      </c>
      <c r="U75" s="127"/>
      <c r="V75" s="127"/>
      <c r="W75" s="127"/>
      <c r="X75" s="127"/>
      <c r="Y75" s="128"/>
    </row>
    <row r="76" spans="4:25" s="120" customFormat="1" ht="14.25">
      <c r="D76" s="118" t="s">
        <v>205</v>
      </c>
      <c r="S76" s="126"/>
      <c r="T76" s="118" t="s">
        <v>209</v>
      </c>
      <c r="U76" s="127"/>
      <c r="V76" s="127"/>
      <c r="W76" s="127"/>
      <c r="X76" s="127"/>
      <c r="Y76" s="128"/>
    </row>
    <row r="77" spans="4:25" s="120" customFormat="1" ht="14.25">
      <c r="D77" s="118" t="s">
        <v>206</v>
      </c>
      <c r="T77" s="118" t="s">
        <v>210</v>
      </c>
      <c r="U77" s="128"/>
      <c r="V77" s="128"/>
      <c r="W77" s="128"/>
      <c r="X77" s="128"/>
      <c r="Y77" s="128"/>
    </row>
    <row r="78" spans="4:25" s="120" customFormat="1" ht="14.25">
      <c r="D78" s="118" t="s">
        <v>202</v>
      </c>
      <c r="T78" s="118" t="s">
        <v>211</v>
      </c>
      <c r="U78" s="128"/>
      <c r="V78" s="128"/>
      <c r="W78" s="128"/>
      <c r="X78" s="128"/>
      <c r="Y78" s="128"/>
    </row>
    <row r="79" spans="3:28" ht="12.75">
      <c r="C79" s="17"/>
      <c r="D79" s="10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07"/>
      <c r="S79" s="17"/>
      <c r="T79" s="17"/>
      <c r="U79" s="119"/>
      <c r="V79" s="119"/>
      <c r="W79" s="119"/>
      <c r="X79" s="119"/>
      <c r="Y79" s="119"/>
      <c r="Z79" s="17"/>
      <c r="AA79" s="17"/>
      <c r="AB79" s="17"/>
    </row>
    <row r="80" spans="3:28" ht="12.75">
      <c r="C80" s="17"/>
      <c r="D80" s="10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07"/>
      <c r="S80" s="17"/>
      <c r="T80" s="17"/>
      <c r="U80" s="119"/>
      <c r="V80" s="119"/>
      <c r="W80" s="119"/>
      <c r="X80" s="119"/>
      <c r="Y80" s="119"/>
      <c r="Z80" s="17"/>
      <c r="AA80" s="17"/>
      <c r="AB80" s="17"/>
    </row>
    <row r="81" spans="4:25" ht="15.75">
      <c r="D81" s="107"/>
      <c r="R81" s="107"/>
      <c r="U81" s="5"/>
      <c r="V81" s="5"/>
      <c r="W81" s="5"/>
      <c r="X81" s="5"/>
      <c r="Y81" s="5"/>
    </row>
    <row r="82" spans="4:25" ht="15.75">
      <c r="D82" s="107"/>
      <c r="R82" s="107"/>
      <c r="U82" s="5"/>
      <c r="V82" s="5"/>
      <c r="W82" s="5"/>
      <c r="X82" s="5"/>
      <c r="Y82" s="5"/>
    </row>
    <row r="83" spans="1:43" s="12" customFormat="1" ht="15">
      <c r="A83" s="33"/>
      <c r="B83" s="33"/>
      <c r="Z83"/>
      <c r="AP83" s="14"/>
      <c r="AQ83" s="30"/>
    </row>
    <row r="84" spans="1:43" s="12" customFormat="1" ht="15.75" customHeight="1">
      <c r="A84" s="33"/>
      <c r="B84" s="56"/>
      <c r="D84" s="8" t="s">
        <v>150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Z84"/>
      <c r="AP84" s="14"/>
      <c r="AQ84" s="30"/>
    </row>
    <row r="85" spans="1:43" s="17" customFormat="1" ht="18.75" customHeight="1" thickBot="1">
      <c r="A85" s="56"/>
      <c r="B85" s="56"/>
      <c r="D85" s="8" t="s">
        <v>151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Z85" s="33"/>
      <c r="AP85" s="14"/>
      <c r="AQ85" s="30"/>
    </row>
    <row r="86" spans="1:43" s="17" customFormat="1" ht="20.25" customHeight="1">
      <c r="A86" s="56"/>
      <c r="B86" s="56"/>
      <c r="D86" s="200" t="s">
        <v>185</v>
      </c>
      <c r="E86" s="201"/>
      <c r="F86" s="204" t="s">
        <v>188</v>
      </c>
      <c r="G86" s="38"/>
      <c r="H86" s="186" t="s">
        <v>2</v>
      </c>
      <c r="I86" s="187"/>
      <c r="J86" s="187"/>
      <c r="K86" s="187"/>
      <c r="L86" s="187"/>
      <c r="M86" s="187"/>
      <c r="N86" s="187"/>
      <c r="O86" s="187"/>
      <c r="P86" s="187"/>
      <c r="Q86" s="187"/>
      <c r="R86" s="188"/>
      <c r="Z86" s="33"/>
      <c r="AP86" s="14"/>
      <c r="AQ86" s="30"/>
    </row>
    <row r="87" spans="1:43" s="17" customFormat="1" ht="18.75" customHeight="1" thickBot="1">
      <c r="A87" s="56"/>
      <c r="B87" s="56"/>
      <c r="D87" s="202"/>
      <c r="E87" s="203"/>
      <c r="F87" s="205"/>
      <c r="G87" s="54"/>
      <c r="H87" s="147" t="s">
        <v>3</v>
      </c>
      <c r="I87" s="148"/>
      <c r="J87" s="148" t="s">
        <v>4</v>
      </c>
      <c r="K87" s="148"/>
      <c r="L87" s="148" t="s">
        <v>5</v>
      </c>
      <c r="M87" s="148"/>
      <c r="N87" s="148" t="s">
        <v>6</v>
      </c>
      <c r="O87" s="148"/>
      <c r="P87" s="148" t="s">
        <v>7</v>
      </c>
      <c r="Q87" s="148"/>
      <c r="R87" s="149" t="s">
        <v>8</v>
      </c>
      <c r="Z87" s="57"/>
      <c r="AP87" s="14"/>
      <c r="AQ87" s="30"/>
    </row>
    <row r="88" spans="1:43" s="17" customFormat="1" ht="15" customHeight="1">
      <c r="A88" s="56"/>
      <c r="B88" s="56"/>
      <c r="D88" s="189">
        <v>0.32</v>
      </c>
      <c r="E88" s="190"/>
      <c r="F88" s="138">
        <v>6.2</v>
      </c>
      <c r="G88" s="61"/>
      <c r="H88" s="67">
        <f>286*1.1</f>
        <v>314.6</v>
      </c>
      <c r="I88" s="68"/>
      <c r="J88" s="68">
        <f>303*1.1</f>
        <v>333.3</v>
      </c>
      <c r="K88" s="68"/>
      <c r="L88" s="68">
        <f>328*1.1</f>
        <v>360.8</v>
      </c>
      <c r="M88" s="68"/>
      <c r="N88" s="68">
        <f>353*1.1</f>
        <v>388.3</v>
      </c>
      <c r="O88" s="68"/>
      <c r="P88" s="68">
        <f>412*1.1</f>
        <v>453.20000000000005</v>
      </c>
      <c r="Q88" s="68"/>
      <c r="R88" s="69">
        <v>29</v>
      </c>
      <c r="Z88" s="57"/>
      <c r="AP88" s="14"/>
      <c r="AQ88" s="30"/>
    </row>
    <row r="89" spans="1:43" s="17" customFormat="1" ht="15" customHeight="1">
      <c r="A89" s="10"/>
      <c r="B89" s="10"/>
      <c r="D89" s="194">
        <v>0.4</v>
      </c>
      <c r="E89" s="195"/>
      <c r="F89" s="139">
        <v>6.9</v>
      </c>
      <c r="G89" s="62"/>
      <c r="H89" s="70">
        <f>306*1.1</f>
        <v>336.6</v>
      </c>
      <c r="I89" s="45"/>
      <c r="J89" s="45">
        <f>324*1.1</f>
        <v>356.40000000000003</v>
      </c>
      <c r="K89" s="45"/>
      <c r="L89" s="45">
        <f>351*1.1</f>
        <v>386.1</v>
      </c>
      <c r="M89" s="45"/>
      <c r="N89" s="45">
        <f>378*1.1</f>
        <v>415.8</v>
      </c>
      <c r="O89" s="45"/>
      <c r="P89" s="45">
        <f>441*1.1</f>
        <v>485.1</v>
      </c>
      <c r="Q89" s="45"/>
      <c r="R89" s="71">
        <v>31</v>
      </c>
      <c r="Z89" s="57"/>
      <c r="AP89" s="14"/>
      <c r="AQ89" s="30"/>
    </row>
    <row r="90" spans="1:43" s="12" customFormat="1" ht="15" customHeight="1">
      <c r="A90" s="33"/>
      <c r="B90" s="33"/>
      <c r="D90" s="194">
        <v>0.5</v>
      </c>
      <c r="E90" s="195"/>
      <c r="F90" s="139">
        <v>7.6</v>
      </c>
      <c r="G90" s="63"/>
      <c r="H90" s="70">
        <f>327*1.1</f>
        <v>359.70000000000005</v>
      </c>
      <c r="I90" s="45"/>
      <c r="J90" s="45">
        <f>347*1.1</f>
        <v>381.70000000000005</v>
      </c>
      <c r="K90" s="45"/>
      <c r="L90" s="45">
        <f>375*1.1</f>
        <v>412.50000000000006</v>
      </c>
      <c r="M90" s="45"/>
      <c r="N90" s="45">
        <f>404*1.1</f>
        <v>444.40000000000003</v>
      </c>
      <c r="O90" s="45"/>
      <c r="P90" s="45">
        <f>472*1.1</f>
        <v>519.2</v>
      </c>
      <c r="Q90" s="45"/>
      <c r="R90" s="71">
        <v>34</v>
      </c>
      <c r="Z90" s="57"/>
      <c r="AP90" s="14"/>
      <c r="AQ90" s="30"/>
    </row>
    <row r="91" spans="1:43" s="12" customFormat="1" ht="15" customHeight="1">
      <c r="A91" s="33"/>
      <c r="B91" s="33"/>
      <c r="D91" s="194">
        <v>0.63</v>
      </c>
      <c r="E91" s="195"/>
      <c r="F91" s="139">
        <v>8.3</v>
      </c>
      <c r="G91" s="64" t="s">
        <v>26</v>
      </c>
      <c r="H91" s="72">
        <f>350*1.1</f>
        <v>385.00000000000006</v>
      </c>
      <c r="I91" s="45"/>
      <c r="J91" s="46">
        <f>371*1.1</f>
        <v>408.1</v>
      </c>
      <c r="K91" s="45"/>
      <c r="L91" s="46">
        <f>402*1.1</f>
        <v>442.20000000000005</v>
      </c>
      <c r="M91" s="45"/>
      <c r="N91" s="46">
        <f>433*1.1</f>
        <v>476.3</v>
      </c>
      <c r="O91" s="45"/>
      <c r="P91" s="46">
        <f>505*1.1</f>
        <v>555.5</v>
      </c>
      <c r="Q91" s="45"/>
      <c r="R91" s="47">
        <v>36</v>
      </c>
      <c r="Z91" s="58"/>
      <c r="AP91" s="14"/>
      <c r="AQ91" s="30"/>
    </row>
    <row r="92" spans="1:43" s="12" customFormat="1" ht="15" customHeight="1">
      <c r="A92" s="33"/>
      <c r="B92" s="33"/>
      <c r="D92" s="194">
        <v>0.8</v>
      </c>
      <c r="E92" s="195"/>
      <c r="F92" s="139">
        <v>9.9</v>
      </c>
      <c r="G92" s="64"/>
      <c r="H92" s="70">
        <f>399*1.1</f>
        <v>438.90000000000003</v>
      </c>
      <c r="I92" s="45"/>
      <c r="J92" s="45">
        <f>428*1.1</f>
        <v>470.8</v>
      </c>
      <c r="K92" s="45"/>
      <c r="L92" s="45">
        <f>476*1.1</f>
        <v>523.6</v>
      </c>
      <c r="M92" s="45"/>
      <c r="N92" s="45">
        <f>433*1.1</f>
        <v>476.3</v>
      </c>
      <c r="O92" s="45"/>
      <c r="P92" s="45">
        <f>635*1.1</f>
        <v>698.5</v>
      </c>
      <c r="Q92" s="45"/>
      <c r="R92" s="71">
        <v>43</v>
      </c>
      <c r="Z92" s="33"/>
      <c r="AP92" s="14"/>
      <c r="AQ92" s="30"/>
    </row>
    <row r="93" spans="1:43" s="12" customFormat="1" ht="15" customHeight="1">
      <c r="A93" s="59"/>
      <c r="B93" s="59"/>
      <c r="D93" s="194">
        <v>1</v>
      </c>
      <c r="E93" s="195"/>
      <c r="F93" s="139">
        <v>11</v>
      </c>
      <c r="G93" s="64" t="s">
        <v>152</v>
      </c>
      <c r="H93" s="73">
        <f>427*1.1</f>
        <v>469.70000000000005</v>
      </c>
      <c r="I93" s="40"/>
      <c r="J93" s="39">
        <f>458*1.1</f>
        <v>503.80000000000007</v>
      </c>
      <c r="K93" s="40"/>
      <c r="L93" s="39">
        <f>510*1.1</f>
        <v>561</v>
      </c>
      <c r="M93" s="40"/>
      <c r="N93" s="39">
        <f>529*1.1</f>
        <v>581.9000000000001</v>
      </c>
      <c r="O93" s="40"/>
      <c r="P93" s="39">
        <f>680*1.1</f>
        <v>748.0000000000001</v>
      </c>
      <c r="Q93" s="40"/>
      <c r="R93" s="41">
        <v>46</v>
      </c>
      <c r="Z93" s="33"/>
      <c r="AP93" s="14"/>
      <c r="AQ93" s="30"/>
    </row>
    <row r="94" spans="1:43" s="12" customFormat="1" ht="15" customHeight="1">
      <c r="A94" s="33"/>
      <c r="B94" s="33"/>
      <c r="D94" s="194">
        <v>1.25</v>
      </c>
      <c r="E94" s="195"/>
      <c r="F94" s="139">
        <v>12</v>
      </c>
      <c r="G94" s="64"/>
      <c r="H94" s="70">
        <f>645*1.1</f>
        <v>709.5000000000001</v>
      </c>
      <c r="I94" s="45"/>
      <c r="J94" s="45">
        <f>674*1.1</f>
        <v>741.4000000000001</v>
      </c>
      <c r="K94" s="45"/>
      <c r="L94" s="45">
        <f>741*1.1</f>
        <v>815.1</v>
      </c>
      <c r="M94" s="45"/>
      <c r="N94" s="45">
        <f>567*1.1</f>
        <v>623.7</v>
      </c>
      <c r="O94" s="45"/>
      <c r="P94" s="45">
        <f>905*1.1</f>
        <v>995.5000000000001</v>
      </c>
      <c r="Q94" s="45"/>
      <c r="R94" s="71">
        <v>63</v>
      </c>
      <c r="Z94" s="33"/>
      <c r="AP94" s="14"/>
      <c r="AQ94" s="30"/>
    </row>
    <row r="95" spans="1:43" s="12" customFormat="1" ht="15" customHeight="1">
      <c r="A95" s="30"/>
      <c r="B95" s="30"/>
      <c r="D95" s="198" t="s">
        <v>38</v>
      </c>
      <c r="E95" s="199"/>
      <c r="F95" s="139">
        <v>14</v>
      </c>
      <c r="G95" s="64" t="s">
        <v>154</v>
      </c>
      <c r="H95" s="73">
        <f>690*1.1</f>
        <v>759.0000000000001</v>
      </c>
      <c r="I95" s="40"/>
      <c r="J95" s="39">
        <f>721*1.1</f>
        <v>793.1</v>
      </c>
      <c r="K95" s="40"/>
      <c r="L95" s="39">
        <f>793*1.1</f>
        <v>872.3000000000001</v>
      </c>
      <c r="M95" s="40"/>
      <c r="N95" s="39">
        <f>789*1.1</f>
        <v>867.9000000000001</v>
      </c>
      <c r="O95" s="40"/>
      <c r="P95" s="39">
        <f>968*1.1</f>
        <v>1064.8000000000002</v>
      </c>
      <c r="Q95" s="40"/>
      <c r="R95" s="41">
        <v>67</v>
      </c>
      <c r="Z95" s="60"/>
      <c r="AP95" s="14"/>
      <c r="AQ95" s="30"/>
    </row>
    <row r="96" spans="1:43" s="12" customFormat="1" ht="15" customHeight="1">
      <c r="A96" s="30"/>
      <c r="B96" s="30"/>
      <c r="D96" s="194">
        <v>2</v>
      </c>
      <c r="E96" s="195"/>
      <c r="F96" s="139">
        <v>15</v>
      </c>
      <c r="G96" s="64" t="s">
        <v>155</v>
      </c>
      <c r="H96" s="73">
        <f>814*1.1</f>
        <v>895.4000000000001</v>
      </c>
      <c r="I96" s="40"/>
      <c r="J96" s="39">
        <f>865*1.1</f>
        <v>951.5000000000001</v>
      </c>
      <c r="K96" s="40"/>
      <c r="L96" s="39">
        <f>937*1.1</f>
        <v>1030.7</v>
      </c>
      <c r="M96" s="40"/>
      <c r="N96" s="39">
        <f>845*1.1</f>
        <v>929.5000000000001</v>
      </c>
      <c r="O96" s="40"/>
      <c r="P96" s="39">
        <f>1154*1.1</f>
        <v>1269.4</v>
      </c>
      <c r="Q96" s="40"/>
      <c r="R96" s="41">
        <v>77</v>
      </c>
      <c r="Z96" s="33"/>
      <c r="AP96" s="14"/>
      <c r="AQ96" s="30"/>
    </row>
    <row r="97" spans="1:26" s="12" customFormat="1" ht="15" customHeight="1">
      <c r="A97" s="30"/>
      <c r="B97" s="30"/>
      <c r="D97" s="196" t="s">
        <v>51</v>
      </c>
      <c r="E97" s="197"/>
      <c r="F97" s="139">
        <v>16.5</v>
      </c>
      <c r="G97" s="64" t="s">
        <v>156</v>
      </c>
      <c r="H97" s="73">
        <f>824*1.1</f>
        <v>906.4000000000001</v>
      </c>
      <c r="I97" s="40"/>
      <c r="J97" s="39">
        <f>886*1.1</f>
        <v>974.6</v>
      </c>
      <c r="K97" s="40"/>
      <c r="L97" s="39">
        <f>984*1.1</f>
        <v>1082.4</v>
      </c>
      <c r="M97" s="40"/>
      <c r="N97" s="39">
        <f>989*1.1</f>
        <v>1087.9</v>
      </c>
      <c r="O97" s="40"/>
      <c r="P97" s="39">
        <f>1174*1.1</f>
        <v>1291.4</v>
      </c>
      <c r="Q97" s="40"/>
      <c r="R97" s="41">
        <v>98</v>
      </c>
      <c r="Z97" s="30"/>
    </row>
    <row r="98" spans="1:26" s="12" customFormat="1" ht="15" customHeight="1">
      <c r="A98" s="30"/>
      <c r="B98" s="30"/>
      <c r="D98" s="198" t="s">
        <v>64</v>
      </c>
      <c r="E98" s="199"/>
      <c r="F98" s="139">
        <v>19.5</v>
      </c>
      <c r="G98" s="64" t="s">
        <v>137</v>
      </c>
      <c r="H98" s="73">
        <f>1133*1.1</f>
        <v>1246.3000000000002</v>
      </c>
      <c r="I98" s="40"/>
      <c r="J98" s="39">
        <f>1195*1.1</f>
        <v>1314.5</v>
      </c>
      <c r="K98" s="40"/>
      <c r="L98" s="39">
        <f>1298*1.1</f>
        <v>1427.8000000000002</v>
      </c>
      <c r="M98" s="40"/>
      <c r="N98" s="39">
        <f>1071*1.1</f>
        <v>1178.1000000000001</v>
      </c>
      <c r="O98" s="40"/>
      <c r="P98" s="39">
        <f>1669*1.1</f>
        <v>1835.9</v>
      </c>
      <c r="Q98" s="40"/>
      <c r="R98" s="41">
        <v>134</v>
      </c>
      <c r="Z98" s="30"/>
    </row>
    <row r="99" spans="1:26" s="12" customFormat="1" ht="15" customHeight="1">
      <c r="A99" s="30"/>
      <c r="B99" s="30"/>
      <c r="D99" s="198" t="s">
        <v>72</v>
      </c>
      <c r="E99" s="199"/>
      <c r="F99" s="139">
        <v>21</v>
      </c>
      <c r="G99" s="64" t="s">
        <v>85</v>
      </c>
      <c r="H99" s="73">
        <f>1360*1.1</f>
        <v>1496.0000000000002</v>
      </c>
      <c r="I99" s="40"/>
      <c r="J99" s="39">
        <f>1421*1.1</f>
        <v>1563.1000000000001</v>
      </c>
      <c r="K99" s="40"/>
      <c r="L99" s="39">
        <f>1555*1.1</f>
        <v>1710.5000000000002</v>
      </c>
      <c r="M99" s="40"/>
      <c r="N99" s="39">
        <f>1432*1.1</f>
        <v>1575.2</v>
      </c>
      <c r="O99" s="40"/>
      <c r="P99" s="39">
        <f>1998*1.1</f>
        <v>2197.8</v>
      </c>
      <c r="Q99" s="40"/>
      <c r="R99" s="41">
        <v>155</v>
      </c>
      <c r="Z99" s="30"/>
    </row>
    <row r="100" spans="1:26" s="12" customFormat="1" ht="15" customHeight="1">
      <c r="A100" s="30"/>
      <c r="B100" s="30"/>
      <c r="D100" s="198" t="s">
        <v>81</v>
      </c>
      <c r="E100" s="199"/>
      <c r="F100" s="139">
        <v>24</v>
      </c>
      <c r="G100" s="64" t="s">
        <v>143</v>
      </c>
      <c r="H100" s="73">
        <f>1875*1.1</f>
        <v>2062.5</v>
      </c>
      <c r="I100" s="40"/>
      <c r="J100" s="39">
        <f>2060*1.1</f>
        <v>2266</v>
      </c>
      <c r="K100" s="40"/>
      <c r="L100" s="39">
        <f>2215*1.1</f>
        <v>2436.5</v>
      </c>
      <c r="M100" s="40"/>
      <c r="N100" s="39">
        <f>1689*1.1</f>
        <v>1857.9</v>
      </c>
      <c r="O100" s="40"/>
      <c r="P100" s="39">
        <f>2771*1.1</f>
        <v>3048.1000000000004</v>
      </c>
      <c r="Q100" s="40"/>
      <c r="R100" s="41">
        <v>165</v>
      </c>
      <c r="Z100" s="30"/>
    </row>
    <row r="101" spans="1:26" s="12" customFormat="1" ht="15" customHeight="1">
      <c r="A101" s="30"/>
      <c r="B101" s="30"/>
      <c r="D101" s="198" t="s">
        <v>90</v>
      </c>
      <c r="E101" s="199"/>
      <c r="F101" s="139">
        <v>27</v>
      </c>
      <c r="G101" s="64" t="s">
        <v>158</v>
      </c>
      <c r="H101" s="73">
        <f>2657*1.1</f>
        <v>2922.7000000000003</v>
      </c>
      <c r="I101" s="40"/>
      <c r="J101" s="39">
        <f>2740*1.1</f>
        <v>3014.0000000000005</v>
      </c>
      <c r="K101" s="40"/>
      <c r="L101" s="39">
        <f>2925*1.1</f>
        <v>3217.5000000000005</v>
      </c>
      <c r="M101" s="40"/>
      <c r="N101" s="39">
        <f>2400*1.1</f>
        <v>2640</v>
      </c>
      <c r="O101" s="40"/>
      <c r="P101" s="39">
        <f>3667*1.1</f>
        <v>4033.7000000000003</v>
      </c>
      <c r="Q101" s="40"/>
      <c r="R101" s="41">
        <v>216</v>
      </c>
      <c r="Z101" s="30"/>
    </row>
    <row r="102" spans="1:26" s="12" customFormat="1" ht="15" customHeight="1">
      <c r="A102" s="30"/>
      <c r="B102" s="30"/>
      <c r="C102" s="30"/>
      <c r="D102" s="198" t="s">
        <v>99</v>
      </c>
      <c r="E102" s="199"/>
      <c r="F102" s="139">
        <v>30.5</v>
      </c>
      <c r="G102" s="64" t="s">
        <v>146</v>
      </c>
      <c r="H102" s="73">
        <f>3667*1.1</f>
        <v>4033.7000000000003</v>
      </c>
      <c r="I102" s="40"/>
      <c r="J102" s="39">
        <f>3790*1.1</f>
        <v>4169</v>
      </c>
      <c r="K102" s="40"/>
      <c r="L102" s="39">
        <f>4099*1.1</f>
        <v>4508.900000000001</v>
      </c>
      <c r="M102" s="40"/>
      <c r="N102" s="39">
        <f>4336*1.1</f>
        <v>4769.6</v>
      </c>
      <c r="O102" s="40"/>
      <c r="P102" s="39">
        <f>5037*1.1</f>
        <v>5540.700000000001</v>
      </c>
      <c r="Q102" s="40"/>
      <c r="R102" s="41">
        <v>288</v>
      </c>
      <c r="Z102" s="30"/>
    </row>
    <row r="103" spans="1:26" s="12" customFormat="1" ht="15" customHeight="1">
      <c r="A103" s="30"/>
      <c r="B103" s="30"/>
      <c r="C103" s="30"/>
      <c r="D103" s="198" t="s">
        <v>108</v>
      </c>
      <c r="E103" s="199"/>
      <c r="F103" s="139">
        <v>33.5</v>
      </c>
      <c r="G103" s="65"/>
      <c r="H103" s="73"/>
      <c r="I103" s="40"/>
      <c r="J103" s="39">
        <f>4285*1.1</f>
        <v>4713.5</v>
      </c>
      <c r="K103" s="40"/>
      <c r="L103" s="39">
        <f>4573*1.1</f>
        <v>5030.3</v>
      </c>
      <c r="M103" s="40"/>
      <c r="N103" s="39">
        <f>4831*1.1</f>
        <v>5314.1</v>
      </c>
      <c r="O103" s="40"/>
      <c r="P103" s="39">
        <f>5747*1.1</f>
        <v>6321.700000000001</v>
      </c>
      <c r="Q103" s="40"/>
      <c r="R103" s="41">
        <v>309</v>
      </c>
      <c r="Z103" s="30"/>
    </row>
    <row r="104" spans="1:20" s="12" customFormat="1" ht="15" customHeight="1" thickBot="1">
      <c r="A104" s="30"/>
      <c r="B104" s="30"/>
      <c r="C104" s="30"/>
      <c r="D104" s="239" t="s">
        <v>115</v>
      </c>
      <c r="E104" s="240"/>
      <c r="F104" s="140">
        <v>37</v>
      </c>
      <c r="G104" s="66"/>
      <c r="H104" s="74"/>
      <c r="I104" s="42"/>
      <c r="J104" s="43">
        <f>5603*1.1</f>
        <v>6163.3</v>
      </c>
      <c r="K104" s="42"/>
      <c r="L104" s="43">
        <f>5892*1.1</f>
        <v>6481.200000000001</v>
      </c>
      <c r="M104" s="42"/>
      <c r="N104" s="43">
        <f>6242*1.1</f>
        <v>6866.200000000001</v>
      </c>
      <c r="O104" s="42"/>
      <c r="P104" s="43">
        <f>7725*1.1</f>
        <v>8497.5</v>
      </c>
      <c r="Q104" s="42"/>
      <c r="R104" s="44">
        <v>330</v>
      </c>
      <c r="S104" s="15"/>
      <c r="T104" s="30"/>
    </row>
    <row r="105" spans="1:20" s="12" customFormat="1" ht="22.5" customHeight="1">
      <c r="A105" s="30"/>
      <c r="B105" s="30"/>
      <c r="C105" s="30"/>
      <c r="D105" s="110"/>
      <c r="E105" s="110"/>
      <c r="F105" s="33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15"/>
      <c r="T105" s="30"/>
    </row>
    <row r="106" spans="1:20" ht="15">
      <c r="A106" s="9"/>
      <c r="B106" s="9"/>
      <c r="C106" s="9"/>
      <c r="D106" s="7" t="s">
        <v>159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18" s="12" customFormat="1" ht="15.75" thickBot="1">
      <c r="A107" s="235"/>
      <c r="B107" s="235"/>
      <c r="C107" s="60"/>
      <c r="D107" s="8" t="s">
        <v>151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9" s="12" customFormat="1" ht="19.5" customHeight="1">
      <c r="A108" s="235"/>
      <c r="B108" s="235"/>
      <c r="C108" s="60"/>
      <c r="D108" s="200" t="s">
        <v>185</v>
      </c>
      <c r="E108" s="201"/>
      <c r="F108" s="150" t="s">
        <v>188</v>
      </c>
      <c r="G108" s="75"/>
      <c r="H108" s="228" t="s">
        <v>2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30"/>
      <c r="S108" s="13"/>
    </row>
    <row r="109" spans="1:19" s="12" customFormat="1" ht="19.5" customHeight="1" thickBot="1">
      <c r="A109" s="235"/>
      <c r="B109" s="235"/>
      <c r="C109" s="60"/>
      <c r="D109" s="202"/>
      <c r="E109" s="203"/>
      <c r="F109" s="151"/>
      <c r="G109" s="85"/>
      <c r="H109" s="153" t="s">
        <v>3</v>
      </c>
      <c r="I109" s="148"/>
      <c r="J109" s="148" t="s">
        <v>4</v>
      </c>
      <c r="K109" s="148"/>
      <c r="L109" s="148" t="s">
        <v>5</v>
      </c>
      <c r="M109" s="148"/>
      <c r="N109" s="148" t="s">
        <v>6</v>
      </c>
      <c r="O109" s="148"/>
      <c r="P109" s="148" t="s">
        <v>7</v>
      </c>
      <c r="Q109" s="148"/>
      <c r="R109" s="149" t="s">
        <v>8</v>
      </c>
      <c r="S109" s="13"/>
    </row>
    <row r="110" spans="1:19" s="12" customFormat="1" ht="15" customHeight="1">
      <c r="A110" s="235"/>
      <c r="B110" s="235"/>
      <c r="C110" s="60"/>
      <c r="D110" s="189">
        <v>0.5</v>
      </c>
      <c r="E110" s="190"/>
      <c r="F110" s="152">
        <v>7.6</v>
      </c>
      <c r="G110" s="84"/>
      <c r="H110" s="81">
        <f>373*1.1</f>
        <v>410.3</v>
      </c>
      <c r="I110" s="76"/>
      <c r="J110" s="76">
        <f>402*1.1</f>
        <v>442.20000000000005</v>
      </c>
      <c r="K110" s="76"/>
      <c r="L110" s="76">
        <f>421*1.1</f>
        <v>463.1</v>
      </c>
      <c r="M110" s="76"/>
      <c r="N110" s="76">
        <f>459*1.1</f>
        <v>504.90000000000003</v>
      </c>
      <c r="O110" s="76"/>
      <c r="P110" s="76">
        <f>479*1.1</f>
        <v>526.9000000000001</v>
      </c>
      <c r="Q110" s="76">
        <f>Q111/1.07</f>
        <v>23.36448598130841</v>
      </c>
      <c r="R110" s="82">
        <f>R111/1.07</f>
        <v>23.925233644859812</v>
      </c>
      <c r="S110" s="13"/>
    </row>
    <row r="111" spans="1:19" s="12" customFormat="1" ht="15" customHeight="1">
      <c r="A111" s="18"/>
      <c r="B111" s="18"/>
      <c r="C111" s="60"/>
      <c r="D111" s="194">
        <v>0.63</v>
      </c>
      <c r="E111" s="195"/>
      <c r="F111" s="139">
        <v>8.3</v>
      </c>
      <c r="G111" s="64" t="s">
        <v>39</v>
      </c>
      <c r="H111" s="72">
        <f>399*1.1</f>
        <v>438.90000000000003</v>
      </c>
      <c r="I111" s="45"/>
      <c r="J111" s="46">
        <f>430*1.1</f>
        <v>473.00000000000006</v>
      </c>
      <c r="K111" s="45"/>
      <c r="L111" s="46">
        <f>451*1.1</f>
        <v>496.1</v>
      </c>
      <c r="M111" s="45"/>
      <c r="N111" s="46">
        <f>492*1.1</f>
        <v>541.2</v>
      </c>
      <c r="O111" s="45"/>
      <c r="P111" s="46">
        <f>512*1.1</f>
        <v>563.2</v>
      </c>
      <c r="Q111" s="45" t="s">
        <v>160</v>
      </c>
      <c r="R111" s="47">
        <f>((Q111*0.16)*0.15)+Q111</f>
        <v>25.6</v>
      </c>
      <c r="S111" s="14"/>
    </row>
    <row r="112" spans="1:19" s="12" customFormat="1" ht="15" customHeight="1">
      <c r="A112" s="33"/>
      <c r="B112" s="33"/>
      <c r="C112" s="33"/>
      <c r="D112" s="194">
        <v>0.8</v>
      </c>
      <c r="E112" s="195"/>
      <c r="F112" s="139">
        <v>9.9</v>
      </c>
      <c r="G112" s="64"/>
      <c r="H112" s="81">
        <f>450*1.1</f>
        <v>495.00000000000006</v>
      </c>
      <c r="I112" s="76"/>
      <c r="J112" s="76">
        <f>469*1.1</f>
        <v>515.9000000000001</v>
      </c>
      <c r="K112" s="76"/>
      <c r="L112" s="76">
        <f>536*1.1</f>
        <v>589.6</v>
      </c>
      <c r="M112" s="76"/>
      <c r="N112" s="76">
        <f>574*1.1</f>
        <v>631.4000000000001</v>
      </c>
      <c r="O112" s="76"/>
      <c r="P112" s="76">
        <f>622*1.1</f>
        <v>684.2</v>
      </c>
      <c r="Q112" s="76">
        <f>Q113/1.07</f>
        <v>37.38317757009346</v>
      </c>
      <c r="R112" s="82">
        <f>R113/1.07</f>
        <v>38.2803738317757</v>
      </c>
      <c r="S112" s="14"/>
    </row>
    <row r="113" spans="1:19" s="12" customFormat="1" ht="15" customHeight="1">
      <c r="A113" s="33"/>
      <c r="B113" s="33"/>
      <c r="C113" s="33"/>
      <c r="D113" s="194">
        <v>1</v>
      </c>
      <c r="E113" s="195"/>
      <c r="F113" s="139">
        <v>11</v>
      </c>
      <c r="G113" s="64" t="s">
        <v>161</v>
      </c>
      <c r="H113" s="73">
        <f>481*1.1</f>
        <v>529.1</v>
      </c>
      <c r="I113" s="40"/>
      <c r="J113" s="39">
        <f>502*1.1</f>
        <v>552.2</v>
      </c>
      <c r="K113" s="40"/>
      <c r="L113" s="39">
        <f>573*1.1</f>
        <v>630.3000000000001</v>
      </c>
      <c r="M113" s="40"/>
      <c r="N113" s="39">
        <f>614*1.1</f>
        <v>675.4000000000001</v>
      </c>
      <c r="O113" s="40"/>
      <c r="P113" s="39">
        <f>666*1.1</f>
        <v>732.6</v>
      </c>
      <c r="Q113" s="40" t="s">
        <v>133</v>
      </c>
      <c r="R113" s="41">
        <f aca="true" t="shared" si="4" ref="R113:R124">((Q113*0.16)*0.15)+Q113</f>
        <v>40.96</v>
      </c>
      <c r="S113" s="14"/>
    </row>
    <row r="114" spans="1:19" s="12" customFormat="1" ht="15" customHeight="1">
      <c r="A114" s="56"/>
      <c r="B114" s="56"/>
      <c r="C114" s="57"/>
      <c r="D114" s="194">
        <v>1.25</v>
      </c>
      <c r="E114" s="195"/>
      <c r="F114" s="139">
        <v>12</v>
      </c>
      <c r="G114" s="64"/>
      <c r="H114" s="81">
        <f>708*1.1</f>
        <v>778.8000000000001</v>
      </c>
      <c r="I114" s="76"/>
      <c r="J114" s="76">
        <f>737*1.1</f>
        <v>810.7</v>
      </c>
      <c r="K114" s="76"/>
      <c r="L114" s="76">
        <f>785*1.1</f>
        <v>863.5000000000001</v>
      </c>
      <c r="M114" s="76"/>
      <c r="N114" s="76">
        <f>852*1.1</f>
        <v>937.2</v>
      </c>
      <c r="O114" s="76"/>
      <c r="P114" s="76">
        <f>900*1.1</f>
        <v>990.0000000000001</v>
      </c>
      <c r="Q114" s="76">
        <f>Q115/1.07</f>
        <v>51.401869158878505</v>
      </c>
      <c r="R114" s="82">
        <f>R115/1.07</f>
        <v>52.63551401869159</v>
      </c>
      <c r="S114" s="14"/>
    </row>
    <row r="115" spans="1:19" s="12" customFormat="1" ht="15" customHeight="1">
      <c r="A115" s="56"/>
      <c r="B115" s="56"/>
      <c r="C115" s="57"/>
      <c r="D115" s="198" t="s">
        <v>38</v>
      </c>
      <c r="E115" s="199"/>
      <c r="F115" s="139">
        <v>14</v>
      </c>
      <c r="G115" s="64" t="s">
        <v>57</v>
      </c>
      <c r="H115" s="73">
        <f>758*1.1</f>
        <v>833.8000000000001</v>
      </c>
      <c r="I115" s="40"/>
      <c r="J115" s="39">
        <f>788*1.1</f>
        <v>866.8000000000001</v>
      </c>
      <c r="K115" s="40"/>
      <c r="L115" s="39">
        <f>840*1.1</f>
        <v>924.0000000000001</v>
      </c>
      <c r="M115" s="40"/>
      <c r="N115" s="39">
        <f>911*1.1</f>
        <v>1002.1000000000001</v>
      </c>
      <c r="O115" s="40"/>
      <c r="P115" s="39">
        <f>963*1.1</f>
        <v>1059.3000000000002</v>
      </c>
      <c r="Q115" s="40" t="s">
        <v>37</v>
      </c>
      <c r="R115" s="41">
        <f t="shared" si="4"/>
        <v>56.32</v>
      </c>
      <c r="S115" s="14"/>
    </row>
    <row r="116" spans="1:19" s="12" customFormat="1" ht="15" customHeight="1">
      <c r="A116" s="56"/>
      <c r="B116" s="56"/>
      <c r="C116" s="57"/>
      <c r="D116" s="194">
        <v>2</v>
      </c>
      <c r="E116" s="195"/>
      <c r="F116" s="139">
        <v>15</v>
      </c>
      <c r="G116" s="64" t="s">
        <v>62</v>
      </c>
      <c r="H116" s="73">
        <f>911*1.1</f>
        <v>1002.1000000000001</v>
      </c>
      <c r="I116" s="40"/>
      <c r="J116" s="39">
        <f>942*1.1</f>
        <v>1036.2</v>
      </c>
      <c r="K116" s="40"/>
      <c r="L116" s="39">
        <f>1014*1.1</f>
        <v>1115.4</v>
      </c>
      <c r="M116" s="40"/>
      <c r="N116" s="39">
        <f>1055*1.1</f>
        <v>1160.5</v>
      </c>
      <c r="O116" s="40"/>
      <c r="P116" s="39">
        <f>1147*1.1</f>
        <v>1261.7</v>
      </c>
      <c r="Q116" s="40" t="s">
        <v>162</v>
      </c>
      <c r="R116" s="41">
        <f t="shared" si="4"/>
        <v>61.44</v>
      </c>
      <c r="S116" s="14"/>
    </row>
    <row r="117" spans="1:19" s="12" customFormat="1" ht="15" customHeight="1">
      <c r="A117" s="30"/>
      <c r="B117" s="30"/>
      <c r="C117" s="30"/>
      <c r="D117" s="196" t="s">
        <v>51</v>
      </c>
      <c r="E117" s="197"/>
      <c r="F117" s="139">
        <v>16.5</v>
      </c>
      <c r="G117" s="64" t="s">
        <v>138</v>
      </c>
      <c r="H117" s="73">
        <f>942*1.1</f>
        <v>1036.2</v>
      </c>
      <c r="I117" s="40"/>
      <c r="J117" s="39">
        <f>983*1.1</f>
        <v>1081.3000000000002</v>
      </c>
      <c r="K117" s="40"/>
      <c r="L117" s="39">
        <f>1065*1.1</f>
        <v>1171.5</v>
      </c>
      <c r="M117" s="40"/>
      <c r="N117" s="39">
        <f>1157*1.1</f>
        <v>1272.7</v>
      </c>
      <c r="O117" s="40"/>
      <c r="P117" s="39">
        <f>1270*1.1</f>
        <v>1397</v>
      </c>
      <c r="Q117" s="40" t="s">
        <v>11</v>
      </c>
      <c r="R117" s="41">
        <f t="shared" si="4"/>
        <v>87.04</v>
      </c>
      <c r="S117" s="14"/>
    </row>
    <row r="118" spans="1:19" s="12" customFormat="1" ht="15" customHeight="1">
      <c r="A118" s="30"/>
      <c r="B118" s="30"/>
      <c r="C118" s="30"/>
      <c r="D118" s="198" t="s">
        <v>64</v>
      </c>
      <c r="E118" s="199"/>
      <c r="F118" s="139">
        <v>19.5</v>
      </c>
      <c r="G118" s="64" t="s">
        <v>163</v>
      </c>
      <c r="H118" s="73">
        <f>1311*1.1</f>
        <v>1442.1000000000001</v>
      </c>
      <c r="I118" s="40"/>
      <c r="J118" s="39">
        <f>1311*1.1</f>
        <v>1442.1000000000001</v>
      </c>
      <c r="K118" s="40"/>
      <c r="L118" s="39">
        <f>1434*1.1</f>
        <v>1577.4</v>
      </c>
      <c r="M118" s="40"/>
      <c r="N118" s="39">
        <f>1536*1.1</f>
        <v>1689.6000000000001</v>
      </c>
      <c r="O118" s="40"/>
      <c r="P118" s="39">
        <f>1638*1.1</f>
        <v>1801.8000000000002</v>
      </c>
      <c r="Q118" s="40" t="s">
        <v>59</v>
      </c>
      <c r="R118" s="41">
        <f t="shared" si="4"/>
        <v>112.64</v>
      </c>
      <c r="S118" s="14"/>
    </row>
    <row r="119" spans="1:19" s="12" customFormat="1" ht="15" customHeight="1">
      <c r="A119" s="30"/>
      <c r="B119" s="30"/>
      <c r="C119" s="30"/>
      <c r="D119" s="198" t="s">
        <v>72</v>
      </c>
      <c r="E119" s="199"/>
      <c r="F119" s="139">
        <v>21</v>
      </c>
      <c r="G119" s="64" t="s">
        <v>165</v>
      </c>
      <c r="H119" s="73">
        <f>1577*1.1</f>
        <v>1734.7</v>
      </c>
      <c r="I119" s="40"/>
      <c r="J119" s="39">
        <f>1597*1.1</f>
        <v>1756.7</v>
      </c>
      <c r="K119" s="40"/>
      <c r="L119" s="39">
        <f>1710*1.1</f>
        <v>1881.0000000000002</v>
      </c>
      <c r="M119" s="40"/>
      <c r="N119" s="39">
        <f>1843*1.1</f>
        <v>2027.3000000000002</v>
      </c>
      <c r="O119" s="40"/>
      <c r="P119" s="39">
        <f>1987*1.1</f>
        <v>2185.7000000000003</v>
      </c>
      <c r="Q119" s="40" t="s">
        <v>63</v>
      </c>
      <c r="R119" s="41">
        <f t="shared" si="4"/>
        <v>133.12</v>
      </c>
      <c r="S119" s="14"/>
    </row>
    <row r="120" spans="1:19" s="12" customFormat="1" ht="15" customHeight="1">
      <c r="A120" s="30"/>
      <c r="B120" s="30"/>
      <c r="C120" s="30"/>
      <c r="D120" s="198" t="s">
        <v>81</v>
      </c>
      <c r="E120" s="199"/>
      <c r="F120" s="139">
        <v>24</v>
      </c>
      <c r="G120" s="64" t="s">
        <v>166</v>
      </c>
      <c r="H120" s="73">
        <f>2243*1.1</f>
        <v>2467.3</v>
      </c>
      <c r="I120" s="40"/>
      <c r="J120" s="39">
        <f>2273*1.1</f>
        <v>2500.3</v>
      </c>
      <c r="K120" s="40"/>
      <c r="L120" s="39">
        <f>2417*1.1</f>
        <v>2658.7000000000003</v>
      </c>
      <c r="M120" s="40"/>
      <c r="N120" s="39">
        <f>2560*1.1</f>
        <v>2816</v>
      </c>
      <c r="O120" s="40"/>
      <c r="P120" s="39">
        <f>2755*1.1</f>
        <v>3030.5000000000005</v>
      </c>
      <c r="Q120" s="40" t="s">
        <v>167</v>
      </c>
      <c r="R120" s="41">
        <f t="shared" si="4"/>
        <v>143.36</v>
      </c>
      <c r="S120" s="14"/>
    </row>
    <row r="121" spans="1:19" s="12" customFormat="1" ht="15" customHeight="1">
      <c r="A121" s="30"/>
      <c r="B121" s="30"/>
      <c r="C121" s="30"/>
      <c r="D121" s="198" t="s">
        <v>90</v>
      </c>
      <c r="E121" s="199"/>
      <c r="F121" s="139">
        <v>27</v>
      </c>
      <c r="G121" s="64" t="s">
        <v>168</v>
      </c>
      <c r="H121" s="73">
        <f>2990*1.1</f>
        <v>3289.0000000000005</v>
      </c>
      <c r="I121" s="40"/>
      <c r="J121" s="39">
        <f>3031*1.1</f>
        <v>3334.1000000000004</v>
      </c>
      <c r="K121" s="40"/>
      <c r="L121" s="39">
        <f>3195*1.1</f>
        <v>3514.5000000000005</v>
      </c>
      <c r="M121" s="40"/>
      <c r="N121" s="39">
        <f>3379*1.1</f>
        <v>3716.9</v>
      </c>
      <c r="O121" s="40"/>
      <c r="P121" s="39">
        <f>3543*1.1</f>
        <v>3897.3</v>
      </c>
      <c r="Q121" s="40" t="s">
        <v>21</v>
      </c>
      <c r="R121" s="41">
        <f t="shared" si="4"/>
        <v>163.84</v>
      </c>
      <c r="S121" s="14"/>
    </row>
    <row r="122" spans="1:19" s="12" customFormat="1" ht="15" customHeight="1">
      <c r="A122" s="30"/>
      <c r="B122" s="30"/>
      <c r="C122" s="30"/>
      <c r="D122" s="198" t="s">
        <v>99</v>
      </c>
      <c r="E122" s="199"/>
      <c r="F122" s="139">
        <v>30.5</v>
      </c>
      <c r="G122" s="64" t="s">
        <v>169</v>
      </c>
      <c r="H122" s="73">
        <f>4116*1.1</f>
        <v>4527.6</v>
      </c>
      <c r="I122" s="40"/>
      <c r="J122" s="39">
        <f>4157*1.1</f>
        <v>4572.700000000001</v>
      </c>
      <c r="K122" s="40"/>
      <c r="L122" s="39">
        <f>4465*1.1</f>
        <v>4911.5</v>
      </c>
      <c r="M122" s="40"/>
      <c r="N122" s="39">
        <f>4731*1.1</f>
        <v>5204.1</v>
      </c>
      <c r="O122" s="40"/>
      <c r="P122" s="39">
        <f>5007*1.1</f>
        <v>5507.700000000001</v>
      </c>
      <c r="Q122" s="40" t="s">
        <v>19</v>
      </c>
      <c r="R122" s="41">
        <f t="shared" si="4"/>
        <v>245.76</v>
      </c>
      <c r="S122" s="14"/>
    </row>
    <row r="123" spans="1:19" s="12" customFormat="1" ht="15" customHeight="1">
      <c r="A123" s="30"/>
      <c r="B123" s="30"/>
      <c r="C123" s="30"/>
      <c r="D123" s="198" t="s">
        <v>108</v>
      </c>
      <c r="E123" s="199"/>
      <c r="F123" s="139">
        <v>33.5</v>
      </c>
      <c r="G123" s="64"/>
      <c r="H123" s="73"/>
      <c r="I123" s="40"/>
      <c r="J123" s="39">
        <f>5570*1.1</f>
        <v>6127.000000000001</v>
      </c>
      <c r="K123" s="40"/>
      <c r="L123" s="39">
        <f>5876*1.1</f>
        <v>6463.6</v>
      </c>
      <c r="M123" s="40"/>
      <c r="N123" s="39">
        <f>6194*1.1</f>
        <v>6813.400000000001</v>
      </c>
      <c r="O123" s="40"/>
      <c r="P123" s="39">
        <f>6524*1.1</f>
        <v>7176.400000000001</v>
      </c>
      <c r="Q123" s="40">
        <f>(300*0.15)+300</f>
        <v>345</v>
      </c>
      <c r="R123" s="41">
        <f t="shared" si="4"/>
        <v>353.28</v>
      </c>
      <c r="S123" s="14"/>
    </row>
    <row r="124" spans="1:19" s="12" customFormat="1" ht="15" customHeight="1">
      <c r="A124" s="30"/>
      <c r="B124" s="30"/>
      <c r="C124" s="30"/>
      <c r="D124" s="198" t="s">
        <v>115</v>
      </c>
      <c r="E124" s="199"/>
      <c r="F124" s="139">
        <v>37</v>
      </c>
      <c r="G124" s="64"/>
      <c r="H124" s="73"/>
      <c r="I124" s="40"/>
      <c r="J124" s="39">
        <f>7725*1.1</f>
        <v>8497.5</v>
      </c>
      <c r="K124" s="40"/>
      <c r="L124" s="39">
        <f>8055*1.1</f>
        <v>8860.5</v>
      </c>
      <c r="M124" s="40"/>
      <c r="N124" s="39">
        <f>8455*1.1</f>
        <v>9300.5</v>
      </c>
      <c r="O124" s="40"/>
      <c r="P124" s="39">
        <f>8832*1.1</f>
        <v>9715.2</v>
      </c>
      <c r="Q124" s="40">
        <f>(320*0.15)+320</f>
        <v>368</v>
      </c>
      <c r="R124" s="41">
        <f t="shared" si="4"/>
        <v>376.832</v>
      </c>
      <c r="S124" s="14"/>
    </row>
    <row r="125" spans="1:19" s="12" customFormat="1" ht="15" customHeight="1">
      <c r="A125" s="30"/>
      <c r="B125" s="30"/>
      <c r="C125" s="30"/>
      <c r="D125" s="183" t="s">
        <v>122</v>
      </c>
      <c r="E125" s="184"/>
      <c r="F125" s="139">
        <v>42</v>
      </c>
      <c r="G125" s="79"/>
      <c r="H125" s="191" t="s">
        <v>128</v>
      </c>
      <c r="I125" s="192"/>
      <c r="J125" s="192"/>
      <c r="K125" s="192"/>
      <c r="L125" s="192"/>
      <c r="M125" s="192"/>
      <c r="N125" s="192"/>
      <c r="O125" s="192"/>
      <c r="P125" s="192"/>
      <c r="Q125" s="192"/>
      <c r="R125" s="193"/>
      <c r="S125" s="15"/>
    </row>
    <row r="126" spans="1:19" s="12" customFormat="1" ht="15" customHeight="1" thickBot="1">
      <c r="A126" s="30"/>
      <c r="B126" s="30"/>
      <c r="C126" s="30"/>
      <c r="D126" s="163" t="s">
        <v>127</v>
      </c>
      <c r="E126" s="164"/>
      <c r="F126" s="140">
        <v>47.5</v>
      </c>
      <c r="G126" s="80"/>
      <c r="H126" s="236" t="s">
        <v>128</v>
      </c>
      <c r="I126" s="237"/>
      <c r="J126" s="237"/>
      <c r="K126" s="237"/>
      <c r="L126" s="237"/>
      <c r="M126" s="237"/>
      <c r="N126" s="237"/>
      <c r="O126" s="237"/>
      <c r="P126" s="237"/>
      <c r="Q126" s="237"/>
      <c r="R126" s="238"/>
      <c r="S126" s="15"/>
    </row>
    <row r="127" spans="1:3" s="12" customFormat="1" ht="15" customHeight="1">
      <c r="A127" s="30"/>
      <c r="B127" s="30"/>
      <c r="C127" s="30"/>
    </row>
    <row r="128" spans="1:3" s="12" customFormat="1" ht="15" customHeight="1">
      <c r="A128" s="30"/>
      <c r="B128" s="30"/>
      <c r="C128" s="30"/>
    </row>
    <row r="129" spans="4:25" ht="15.75"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"/>
    </row>
    <row r="130" spans="4:25" ht="15.75"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89"/>
      <c r="Q130" s="20"/>
      <c r="R130" s="20"/>
      <c r="S130" s="20"/>
      <c r="T130" s="20"/>
      <c r="U130" s="20"/>
      <c r="V130" s="20"/>
      <c r="W130" s="20"/>
      <c r="X130" s="20"/>
      <c r="Y130" s="5"/>
    </row>
    <row r="131" spans="4:25" ht="15.75"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89"/>
      <c r="Q131" s="20"/>
      <c r="R131" s="20"/>
      <c r="S131" s="20"/>
      <c r="T131" s="20"/>
      <c r="U131" s="20"/>
      <c r="V131" s="20"/>
      <c r="W131" s="20"/>
      <c r="X131" s="20"/>
      <c r="Y131" s="5"/>
    </row>
    <row r="132" spans="16:25" ht="15.75">
      <c r="P132" s="96"/>
      <c r="S132" s="30"/>
      <c r="T132" s="30"/>
      <c r="U132" s="20"/>
      <c r="V132" s="20"/>
      <c r="W132" s="20"/>
      <c r="X132" s="20"/>
      <c r="Y132" s="5"/>
    </row>
    <row r="133" spans="16:25" ht="15.75">
      <c r="P133" s="1" t="s">
        <v>190</v>
      </c>
      <c r="S133" s="30"/>
      <c r="T133" s="30"/>
      <c r="U133" s="20"/>
      <c r="V133" s="20"/>
      <c r="W133" s="20"/>
      <c r="X133" s="20"/>
      <c r="Y133" s="5"/>
    </row>
    <row r="134" spans="16:25" ht="15.75">
      <c r="P134" s="98" t="s">
        <v>191</v>
      </c>
      <c r="S134" s="16"/>
      <c r="T134" s="53"/>
      <c r="U134" s="20"/>
      <c r="V134" s="20"/>
      <c r="W134" s="20"/>
      <c r="X134" s="20"/>
      <c r="Y134" s="5"/>
    </row>
    <row r="135" spans="1:25" ht="18.75">
      <c r="A135" s="9"/>
      <c r="B135" s="9"/>
      <c r="C135" s="9"/>
      <c r="P135" s="101" t="s">
        <v>198</v>
      </c>
      <c r="S135" s="16"/>
      <c r="T135" s="53"/>
      <c r="U135" s="20"/>
      <c r="V135" s="20"/>
      <c r="W135" s="20"/>
      <c r="X135" s="20"/>
      <c r="Y135" s="5"/>
    </row>
    <row r="136" spans="1:25" ht="18.75">
      <c r="A136" s="9"/>
      <c r="B136" s="9"/>
      <c r="C136" s="9"/>
      <c r="P136" s="101"/>
      <c r="S136" s="16"/>
      <c r="T136" s="53"/>
      <c r="U136" s="20"/>
      <c r="V136" s="20"/>
      <c r="W136" s="20"/>
      <c r="X136" s="20"/>
      <c r="Y136" s="5"/>
    </row>
    <row r="137" spans="1:25" s="120" customFormat="1" ht="14.25">
      <c r="A137" s="129"/>
      <c r="B137" s="129"/>
      <c r="C137" s="130"/>
      <c r="D137" s="121" t="s">
        <v>203</v>
      </c>
      <c r="S137" s="126"/>
      <c r="T137" s="118" t="s">
        <v>208</v>
      </c>
      <c r="U137" s="127"/>
      <c r="V137" s="127"/>
      <c r="W137" s="127"/>
      <c r="X137" s="127"/>
      <c r="Y137" s="128"/>
    </row>
    <row r="138" spans="1:25" s="120" customFormat="1" ht="14.25">
      <c r="A138" s="131"/>
      <c r="B138" s="131"/>
      <c r="C138" s="131"/>
      <c r="D138" s="118" t="s">
        <v>204</v>
      </c>
      <c r="S138" s="126"/>
      <c r="T138" s="118" t="s">
        <v>213</v>
      </c>
      <c r="U138" s="127"/>
      <c r="V138" s="127"/>
      <c r="W138" s="127"/>
      <c r="X138" s="127"/>
      <c r="Y138" s="128"/>
    </row>
    <row r="139" spans="4:25" s="120" customFormat="1" ht="14.25">
      <c r="D139" s="118" t="s">
        <v>205</v>
      </c>
      <c r="S139" s="126"/>
      <c r="T139" s="118" t="s">
        <v>209</v>
      </c>
      <c r="U139" s="127"/>
      <c r="V139" s="127"/>
      <c r="W139" s="127"/>
      <c r="X139" s="127"/>
      <c r="Y139" s="128"/>
    </row>
    <row r="140" spans="4:25" s="120" customFormat="1" ht="14.25">
      <c r="D140" s="118" t="s">
        <v>206</v>
      </c>
      <c r="T140" s="118" t="s">
        <v>210</v>
      </c>
      <c r="U140" s="128"/>
      <c r="V140" s="128"/>
      <c r="W140" s="128"/>
      <c r="X140" s="128"/>
      <c r="Y140" s="128"/>
    </row>
    <row r="141" spans="4:25" s="120" customFormat="1" ht="14.25">
      <c r="D141" s="118" t="s">
        <v>202</v>
      </c>
      <c r="T141" s="118" t="s">
        <v>211</v>
      </c>
      <c r="U141" s="128"/>
      <c r="V141" s="128"/>
      <c r="W141" s="128"/>
      <c r="X141" s="128"/>
      <c r="Y141" s="128"/>
    </row>
    <row r="142" spans="4:23" ht="12.7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4:23" ht="12.7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4:23" ht="12.7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4:23" ht="12.7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4:26" ht="1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Z146" s="12"/>
    </row>
    <row r="147" spans="4:22" s="12" customFormat="1" ht="18">
      <c r="D147" s="181" t="s">
        <v>170</v>
      </c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</row>
    <row r="148" spans="4:22" s="12" customFormat="1" ht="18.75" thickBot="1">
      <c r="D148" s="181" t="s">
        <v>151</v>
      </c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</row>
    <row r="149" spans="4:19" s="17" customFormat="1" ht="18" customHeight="1">
      <c r="D149" s="200" t="s">
        <v>185</v>
      </c>
      <c r="E149" s="201"/>
      <c r="F149" s="204" t="s">
        <v>188</v>
      </c>
      <c r="G149" s="38"/>
      <c r="H149" s="179" t="s">
        <v>2</v>
      </c>
      <c r="I149" s="179"/>
      <c r="J149" s="179"/>
      <c r="K149" s="179"/>
      <c r="L149" s="179"/>
      <c r="M149" s="179"/>
      <c r="N149" s="179"/>
      <c r="O149" s="179"/>
      <c r="P149" s="179"/>
      <c r="Q149" s="179"/>
      <c r="R149" s="221"/>
      <c r="S149" s="16"/>
    </row>
    <row r="150" spans="4:19" s="17" customFormat="1" ht="18" customHeight="1" thickBot="1">
      <c r="D150" s="250"/>
      <c r="E150" s="251"/>
      <c r="F150" s="252"/>
      <c r="G150" s="54"/>
      <c r="H150" s="148" t="s">
        <v>3</v>
      </c>
      <c r="I150" s="148"/>
      <c r="J150" s="148" t="s">
        <v>4</v>
      </c>
      <c r="K150" s="148"/>
      <c r="L150" s="148" t="s">
        <v>5</v>
      </c>
      <c r="M150" s="148"/>
      <c r="N150" s="148" t="s">
        <v>6</v>
      </c>
      <c r="O150" s="148"/>
      <c r="P150" s="148" t="s">
        <v>7</v>
      </c>
      <c r="Q150" s="148"/>
      <c r="R150" s="149" t="s">
        <v>8</v>
      </c>
      <c r="S150" s="16"/>
    </row>
    <row r="151" spans="4:19" s="17" customFormat="1" ht="15" customHeight="1">
      <c r="D151" s="226">
        <v>0.5</v>
      </c>
      <c r="E151" s="227"/>
      <c r="F151" s="152">
        <v>6.9</v>
      </c>
      <c r="G151" s="111"/>
      <c r="H151" s="67">
        <f>997*1.1</f>
        <v>1096.7</v>
      </c>
      <c r="I151" s="68"/>
      <c r="J151" s="68">
        <f>1048*1.1</f>
        <v>1152.8000000000002</v>
      </c>
      <c r="K151" s="68"/>
      <c r="L151" s="68">
        <f>1098*1.1</f>
        <v>1207.8000000000002</v>
      </c>
      <c r="M151" s="68"/>
      <c r="N151" s="68">
        <f>1183*1.1</f>
        <v>1301.3000000000002</v>
      </c>
      <c r="O151" s="68"/>
      <c r="P151" s="68">
        <f>1267*1.1</f>
        <v>1393.7</v>
      </c>
      <c r="Q151" s="68">
        <f aca="true" t="shared" si="5" ref="Q151:R154">Q152/1.05</f>
        <v>63.3480905589749</v>
      </c>
      <c r="R151" s="69">
        <f t="shared" si="5"/>
        <v>65.05848900406721</v>
      </c>
      <c r="S151" s="16"/>
    </row>
    <row r="152" spans="4:19" s="17" customFormat="1" ht="15" customHeight="1">
      <c r="D152" s="168">
        <v>0.63</v>
      </c>
      <c r="E152" s="169"/>
      <c r="F152" s="139">
        <v>7.6</v>
      </c>
      <c r="G152" s="63"/>
      <c r="H152" s="70">
        <f>1047*1.1</f>
        <v>1151.7</v>
      </c>
      <c r="I152" s="45"/>
      <c r="J152" s="45">
        <f>1100*1.1</f>
        <v>1210</v>
      </c>
      <c r="K152" s="45"/>
      <c r="L152" s="45">
        <f>1153*1.1</f>
        <v>1268.3000000000002</v>
      </c>
      <c r="M152" s="45"/>
      <c r="N152" s="45">
        <f>1242*1.1</f>
        <v>1366.2</v>
      </c>
      <c r="O152" s="45"/>
      <c r="P152" s="45">
        <f>1331*1.1</f>
        <v>1464.1000000000001</v>
      </c>
      <c r="Q152" s="45">
        <f t="shared" si="5"/>
        <v>66.51549508692365</v>
      </c>
      <c r="R152" s="71">
        <f t="shared" si="5"/>
        <v>68.31141345427058</v>
      </c>
      <c r="S152" s="16"/>
    </row>
    <row r="153" spans="4:19" s="17" customFormat="1" ht="15" customHeight="1">
      <c r="D153" s="168">
        <v>0.8</v>
      </c>
      <c r="E153" s="169"/>
      <c r="F153" s="139">
        <v>8.3</v>
      </c>
      <c r="G153" s="63"/>
      <c r="H153" s="70">
        <f>1099*1.1</f>
        <v>1208.9</v>
      </c>
      <c r="I153" s="45"/>
      <c r="J153" s="45">
        <f>1155*1.1</f>
        <v>1270.5</v>
      </c>
      <c r="K153" s="45"/>
      <c r="L153" s="45">
        <f>1211*1.1</f>
        <v>1332.1000000000001</v>
      </c>
      <c r="M153" s="45"/>
      <c r="N153" s="45">
        <f>1304*1.1</f>
        <v>1434.4</v>
      </c>
      <c r="O153" s="45"/>
      <c r="P153" s="45">
        <f>1397*1.1</f>
        <v>1536.7</v>
      </c>
      <c r="Q153" s="45">
        <f t="shared" si="5"/>
        <v>69.84126984126983</v>
      </c>
      <c r="R153" s="71">
        <f t="shared" si="5"/>
        <v>71.7269841269841</v>
      </c>
      <c r="S153" s="16"/>
    </row>
    <row r="154" spans="4:19" s="17" customFormat="1" ht="15" customHeight="1">
      <c r="D154" s="168">
        <v>1</v>
      </c>
      <c r="E154" s="169"/>
      <c r="F154" s="139">
        <v>9.9</v>
      </c>
      <c r="G154" s="63"/>
      <c r="H154" s="70">
        <f>1154*1.1</f>
        <v>1269.4</v>
      </c>
      <c r="I154" s="45"/>
      <c r="J154" s="45">
        <f>1213*1.1</f>
        <v>1334.3000000000002</v>
      </c>
      <c r="K154" s="45"/>
      <c r="L154" s="45">
        <f>1272*1.1</f>
        <v>1399.2</v>
      </c>
      <c r="M154" s="45"/>
      <c r="N154" s="45">
        <f>1369*1.1</f>
        <v>1505.9</v>
      </c>
      <c r="O154" s="45"/>
      <c r="P154" s="45">
        <f>1467*1.1</f>
        <v>1613.7</v>
      </c>
      <c r="Q154" s="45">
        <f t="shared" si="5"/>
        <v>73.33333333333333</v>
      </c>
      <c r="R154" s="71">
        <f t="shared" si="5"/>
        <v>75.31333333333332</v>
      </c>
      <c r="S154" s="16"/>
    </row>
    <row r="155" spans="4:19" s="12" customFormat="1" ht="15" customHeight="1">
      <c r="D155" s="168">
        <v>1.25</v>
      </c>
      <c r="E155" s="169"/>
      <c r="F155" s="139">
        <v>11.5</v>
      </c>
      <c r="G155" s="64" t="s">
        <v>71</v>
      </c>
      <c r="H155" s="73">
        <f>1212*1.1</f>
        <v>1333.2</v>
      </c>
      <c r="I155" s="40"/>
      <c r="J155" s="39">
        <f>1273*1.1</f>
        <v>1400.3000000000002</v>
      </c>
      <c r="K155" s="40"/>
      <c r="L155" s="39">
        <f>1335*1.1</f>
        <v>1468.5000000000002</v>
      </c>
      <c r="M155" s="40"/>
      <c r="N155" s="39">
        <f>1438*1.1</f>
        <v>1581.8000000000002</v>
      </c>
      <c r="O155" s="40"/>
      <c r="P155" s="39">
        <f>1541*1.1</f>
        <v>1695.1000000000001</v>
      </c>
      <c r="Q155" s="40" t="s">
        <v>171</v>
      </c>
      <c r="R155" s="41">
        <f>((Q155*0.18)*0.15)+Q155</f>
        <v>79.079</v>
      </c>
      <c r="S155" s="14"/>
    </row>
    <row r="156" spans="4:19" s="12" customFormat="1" ht="15" customHeight="1">
      <c r="D156" s="175" t="s">
        <v>38</v>
      </c>
      <c r="E156" s="176"/>
      <c r="F156" s="139">
        <v>12</v>
      </c>
      <c r="G156" s="64" t="s">
        <v>172</v>
      </c>
      <c r="H156" s="73">
        <f>1232*1.1</f>
        <v>1355.2</v>
      </c>
      <c r="I156" s="40"/>
      <c r="J156" s="39">
        <f>1315*1.1</f>
        <v>1446.5000000000002</v>
      </c>
      <c r="K156" s="40"/>
      <c r="L156" s="39">
        <f>1397*1.1</f>
        <v>1536.7</v>
      </c>
      <c r="M156" s="40"/>
      <c r="N156" s="39">
        <f>1499*1.1</f>
        <v>1648.9</v>
      </c>
      <c r="O156" s="40"/>
      <c r="P156" s="39">
        <f>1582*1.1</f>
        <v>1740.2</v>
      </c>
      <c r="Q156" s="40" t="s">
        <v>174</v>
      </c>
      <c r="R156" s="41">
        <f aca="true" t="shared" si="6" ref="R156:R166">((Q156*0.18)*0.15)+Q156</f>
        <v>89.349</v>
      </c>
      <c r="S156" s="14"/>
    </row>
    <row r="157" spans="4:19" s="12" customFormat="1" ht="15" customHeight="1">
      <c r="D157" s="168">
        <v>2</v>
      </c>
      <c r="E157" s="169"/>
      <c r="F157" s="139">
        <v>14</v>
      </c>
      <c r="G157" s="64" t="s">
        <v>175</v>
      </c>
      <c r="H157" s="73">
        <f>1263*1.1</f>
        <v>1389.3000000000002</v>
      </c>
      <c r="I157" s="40"/>
      <c r="J157" s="39">
        <f>1356*1.1</f>
        <v>1491.6000000000001</v>
      </c>
      <c r="K157" s="40"/>
      <c r="L157" s="39">
        <f>1438*1.1</f>
        <v>1581.8000000000002</v>
      </c>
      <c r="M157" s="40"/>
      <c r="N157" s="39">
        <f>1592*1.1</f>
        <v>1751.2</v>
      </c>
      <c r="O157" s="40"/>
      <c r="P157" s="39">
        <f>1684*1.1</f>
        <v>1852.4</v>
      </c>
      <c r="Q157" s="40" t="s">
        <v>157</v>
      </c>
      <c r="R157" s="41">
        <f t="shared" si="6"/>
        <v>97.565</v>
      </c>
      <c r="S157" s="14"/>
    </row>
    <row r="158" spans="4:19" s="12" customFormat="1" ht="15" customHeight="1">
      <c r="D158" s="167" t="s">
        <v>51</v>
      </c>
      <c r="E158" s="157"/>
      <c r="F158" s="139">
        <v>15</v>
      </c>
      <c r="G158" s="64" t="s">
        <v>173</v>
      </c>
      <c r="H158" s="73">
        <f>1499*1.1</f>
        <v>1648.9</v>
      </c>
      <c r="I158" s="40"/>
      <c r="J158" s="39">
        <f>1602*1.1</f>
        <v>1762.2</v>
      </c>
      <c r="K158" s="40"/>
      <c r="L158" s="39">
        <f>1736*1.1</f>
        <v>1909.6000000000001</v>
      </c>
      <c r="M158" s="40"/>
      <c r="N158" s="39">
        <f>1890*1.1</f>
        <v>2079</v>
      </c>
      <c r="O158" s="40"/>
      <c r="P158" s="39">
        <f>1992*1.1</f>
        <v>2191.2000000000003</v>
      </c>
      <c r="Q158" s="40" t="s">
        <v>59</v>
      </c>
      <c r="R158" s="41">
        <f t="shared" si="6"/>
        <v>112.97</v>
      </c>
      <c r="S158" s="14"/>
    </row>
    <row r="159" spans="4:19" s="12" customFormat="1" ht="15" customHeight="1">
      <c r="D159" s="175" t="s">
        <v>64</v>
      </c>
      <c r="E159" s="176"/>
      <c r="F159" s="139">
        <v>16.5</v>
      </c>
      <c r="G159" s="64" t="s">
        <v>176</v>
      </c>
      <c r="H159" s="73">
        <f>1736*1.1</f>
        <v>1909.6000000000001</v>
      </c>
      <c r="I159" s="40"/>
      <c r="J159" s="39">
        <f>1849*1.1</f>
        <v>2033.9</v>
      </c>
      <c r="K159" s="40"/>
      <c r="L159" s="39">
        <f>2044*1.1</f>
        <v>2248.4</v>
      </c>
      <c r="M159" s="40"/>
      <c r="N159" s="39">
        <f>2239*1.1</f>
        <v>2462.9</v>
      </c>
      <c r="O159" s="40"/>
      <c r="P159" s="39">
        <f>2383*1.1</f>
        <v>2621.3</v>
      </c>
      <c r="Q159" s="40" t="s">
        <v>14</v>
      </c>
      <c r="R159" s="41">
        <f t="shared" si="6"/>
        <v>154.05</v>
      </c>
      <c r="S159" s="14"/>
    </row>
    <row r="160" spans="4:19" s="12" customFormat="1" ht="15" customHeight="1">
      <c r="D160" s="175" t="s">
        <v>72</v>
      </c>
      <c r="E160" s="176"/>
      <c r="F160" s="139">
        <v>20</v>
      </c>
      <c r="G160" s="64" t="s">
        <v>177</v>
      </c>
      <c r="H160" s="73">
        <f>2218*1.1</f>
        <v>2439.8</v>
      </c>
      <c r="I160" s="40"/>
      <c r="J160" s="39">
        <f>2362*1.1</f>
        <v>2598.2000000000003</v>
      </c>
      <c r="K160" s="40"/>
      <c r="L160" s="39">
        <f>2670*1.1</f>
        <v>2937.0000000000005</v>
      </c>
      <c r="M160" s="40"/>
      <c r="N160" s="39">
        <f>2937*1.1</f>
        <v>3230.7000000000003</v>
      </c>
      <c r="O160" s="40"/>
      <c r="P160" s="39">
        <f>3122*1.1</f>
        <v>3434.2000000000003</v>
      </c>
      <c r="Q160" s="40" t="s">
        <v>134</v>
      </c>
      <c r="R160" s="41">
        <f t="shared" si="6"/>
        <v>195.13</v>
      </c>
      <c r="S160" s="14"/>
    </row>
    <row r="161" spans="4:19" s="12" customFormat="1" ht="15" customHeight="1">
      <c r="D161" s="175" t="s">
        <v>81</v>
      </c>
      <c r="E161" s="176"/>
      <c r="F161" s="139">
        <v>21</v>
      </c>
      <c r="G161" s="64" t="s">
        <v>178</v>
      </c>
      <c r="H161" s="73">
        <f>2835*1.1</f>
        <v>3118.5000000000005</v>
      </c>
      <c r="I161" s="40"/>
      <c r="J161" s="39">
        <f>2968*1.1</f>
        <v>3264.8</v>
      </c>
      <c r="K161" s="40"/>
      <c r="L161" s="39">
        <f>3286*1.1</f>
        <v>3614.6000000000004</v>
      </c>
      <c r="M161" s="40"/>
      <c r="N161" s="39">
        <f>3574*1.1</f>
        <v>3931.4</v>
      </c>
      <c r="O161" s="40"/>
      <c r="P161" s="39">
        <f>3790*1.1</f>
        <v>4169</v>
      </c>
      <c r="Q161" s="40" t="s">
        <v>132</v>
      </c>
      <c r="R161" s="41">
        <f t="shared" si="6"/>
        <v>225.94</v>
      </c>
      <c r="S161" s="14"/>
    </row>
    <row r="162" spans="4:19" s="12" customFormat="1" ht="15" customHeight="1">
      <c r="D162" s="175" t="s">
        <v>90</v>
      </c>
      <c r="E162" s="176"/>
      <c r="F162" s="139">
        <v>24</v>
      </c>
      <c r="G162" s="64" t="s">
        <v>180</v>
      </c>
      <c r="H162" s="73">
        <f>3862*1.1</f>
        <v>4248.200000000001</v>
      </c>
      <c r="I162" s="40"/>
      <c r="J162" s="39">
        <f>4067*1.1</f>
        <v>4473.700000000001</v>
      </c>
      <c r="K162" s="40"/>
      <c r="L162" s="39">
        <f>4375*1.1</f>
        <v>4812.5</v>
      </c>
      <c r="M162" s="40"/>
      <c r="N162" s="39">
        <f>4765*1.1</f>
        <v>5241.5</v>
      </c>
      <c r="O162" s="40"/>
      <c r="P162" s="39">
        <f>5022*1.1</f>
        <v>5524.200000000001</v>
      </c>
      <c r="Q162" s="40" t="s">
        <v>23</v>
      </c>
      <c r="R162" s="41">
        <f t="shared" si="6"/>
        <v>267.02</v>
      </c>
      <c r="S162" s="14"/>
    </row>
    <row r="163" spans="4:19" s="12" customFormat="1" ht="15" customHeight="1">
      <c r="D163" s="175" t="s">
        <v>99</v>
      </c>
      <c r="E163" s="176"/>
      <c r="F163" s="139">
        <v>27</v>
      </c>
      <c r="G163" s="112"/>
      <c r="H163" s="73"/>
      <c r="I163" s="40"/>
      <c r="J163" s="39">
        <f>5741*1.1</f>
        <v>6315.1</v>
      </c>
      <c r="K163" s="40"/>
      <c r="L163" s="39">
        <f>6152*1.1</f>
        <v>6767.200000000001</v>
      </c>
      <c r="M163" s="40"/>
      <c r="N163" s="39">
        <f>6614*1.1</f>
        <v>7275.400000000001</v>
      </c>
      <c r="O163" s="40"/>
      <c r="P163" s="39">
        <f>6984*1.1</f>
        <v>7682.400000000001</v>
      </c>
      <c r="Q163" s="40" t="s">
        <v>33</v>
      </c>
      <c r="R163" s="41">
        <f t="shared" si="6"/>
        <v>328.64</v>
      </c>
      <c r="S163" s="14"/>
    </row>
    <row r="164" spans="4:19" s="12" customFormat="1" ht="15" customHeight="1">
      <c r="D164" s="175" t="s">
        <v>108</v>
      </c>
      <c r="E164" s="176"/>
      <c r="F164" s="139">
        <v>30.5</v>
      </c>
      <c r="G164" s="112"/>
      <c r="H164" s="73"/>
      <c r="I164" s="40"/>
      <c r="J164" s="39">
        <f>8514*1.1</f>
        <v>9365.400000000001</v>
      </c>
      <c r="K164" s="40"/>
      <c r="L164" s="39">
        <f>9058*1.1</f>
        <v>9963.800000000001</v>
      </c>
      <c r="M164" s="40"/>
      <c r="N164" s="39">
        <f>9654*1.1</f>
        <v>10619.400000000001</v>
      </c>
      <c r="O164" s="40"/>
      <c r="P164" s="39">
        <f>10106*1.1</f>
        <v>11116.6</v>
      </c>
      <c r="Q164" s="40" t="s">
        <v>153</v>
      </c>
      <c r="R164" s="41">
        <f t="shared" si="6"/>
        <v>457.015</v>
      </c>
      <c r="S164" s="14"/>
    </row>
    <row r="165" spans="4:19" s="12" customFormat="1" ht="15" customHeight="1">
      <c r="D165" s="175" t="s">
        <v>115</v>
      </c>
      <c r="E165" s="176"/>
      <c r="F165" s="139">
        <v>33.5</v>
      </c>
      <c r="G165" s="112"/>
      <c r="H165" s="73"/>
      <c r="I165" s="40"/>
      <c r="J165" s="39">
        <f>10913*1.1</f>
        <v>12004.300000000001</v>
      </c>
      <c r="K165" s="40"/>
      <c r="L165" s="39">
        <f>11598*1.1</f>
        <v>12757.800000000001</v>
      </c>
      <c r="M165" s="40"/>
      <c r="N165" s="39">
        <f>12188*1.1</f>
        <v>13406.800000000001</v>
      </c>
      <c r="O165" s="40"/>
      <c r="P165" s="39">
        <f>12921*1.1</f>
        <v>14213.1</v>
      </c>
      <c r="Q165" s="40">
        <f>(620*0.15)+620</f>
        <v>713</v>
      </c>
      <c r="R165" s="41">
        <f t="shared" si="6"/>
        <v>732.251</v>
      </c>
      <c r="S165" s="14"/>
    </row>
    <row r="166" spans="4:19" s="12" customFormat="1" ht="15" customHeight="1">
      <c r="D166" s="161" t="s">
        <v>122</v>
      </c>
      <c r="E166" s="162"/>
      <c r="F166" s="139">
        <v>37</v>
      </c>
      <c r="G166" s="112"/>
      <c r="H166" s="113"/>
      <c r="I166" s="86"/>
      <c r="J166" s="39"/>
      <c r="K166" s="86"/>
      <c r="L166" s="39"/>
      <c r="M166" s="40"/>
      <c r="N166" s="39">
        <f>16346*1.1</f>
        <v>17980.600000000002</v>
      </c>
      <c r="O166" s="40"/>
      <c r="P166" s="39">
        <f>17291*1.1</f>
        <v>19020.100000000002</v>
      </c>
      <c r="Q166" s="40">
        <f>(690*0.15)+690</f>
        <v>793.5</v>
      </c>
      <c r="R166" s="41">
        <f t="shared" si="6"/>
        <v>814.9245</v>
      </c>
      <c r="S166" s="14"/>
    </row>
    <row r="167" spans="4:19" s="12" customFormat="1" ht="15" customHeight="1" thickBot="1">
      <c r="D167" s="163" t="s">
        <v>127</v>
      </c>
      <c r="E167" s="164"/>
      <c r="F167" s="140">
        <v>42</v>
      </c>
      <c r="G167" s="80"/>
      <c r="H167" s="247" t="s">
        <v>128</v>
      </c>
      <c r="I167" s="248"/>
      <c r="J167" s="248"/>
      <c r="K167" s="248"/>
      <c r="L167" s="248"/>
      <c r="M167" s="248"/>
      <c r="N167" s="248"/>
      <c r="O167" s="248"/>
      <c r="P167" s="248"/>
      <c r="Q167" s="248"/>
      <c r="R167" s="249"/>
      <c r="S167" s="15"/>
    </row>
    <row r="168" spans="4:19" s="12" customFormat="1" ht="21" customHeight="1">
      <c r="D168" s="177"/>
      <c r="E168" s="170"/>
      <c r="F168" s="60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5"/>
    </row>
    <row r="169" ht="12.75">
      <c r="D169" s="3"/>
    </row>
    <row r="170" spans="4:22" s="12" customFormat="1" ht="18">
      <c r="D170" s="181" t="s">
        <v>181</v>
      </c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</row>
    <row r="171" spans="4:22" s="12" customFormat="1" ht="18.75" thickBot="1">
      <c r="D171" s="181" t="s">
        <v>151</v>
      </c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</row>
    <row r="172" spans="4:19" s="17" customFormat="1" ht="19.5" customHeight="1">
      <c r="D172" s="178" t="s">
        <v>185</v>
      </c>
      <c r="E172" s="179"/>
      <c r="F172" s="173" t="s">
        <v>188</v>
      </c>
      <c r="G172" s="38"/>
      <c r="H172" s="179" t="s">
        <v>2</v>
      </c>
      <c r="I172" s="179"/>
      <c r="J172" s="179"/>
      <c r="K172" s="179"/>
      <c r="L172" s="179"/>
      <c r="M172" s="179"/>
      <c r="N172" s="179"/>
      <c r="O172" s="179"/>
      <c r="P172" s="179"/>
      <c r="Q172" s="179"/>
      <c r="R172" s="221"/>
      <c r="S172" s="16"/>
    </row>
    <row r="173" spans="4:19" s="17" customFormat="1" ht="19.5" customHeight="1" thickBot="1">
      <c r="D173" s="180"/>
      <c r="E173" s="172"/>
      <c r="F173" s="174"/>
      <c r="G173" s="54"/>
      <c r="H173" s="185" t="s">
        <v>3</v>
      </c>
      <c r="I173" s="171" t="s">
        <v>4</v>
      </c>
      <c r="J173" s="220"/>
      <c r="K173" s="171" t="s">
        <v>5</v>
      </c>
      <c r="L173" s="171"/>
      <c r="M173" s="171" t="s">
        <v>6</v>
      </c>
      <c r="N173" s="171"/>
      <c r="O173" s="171" t="s">
        <v>7</v>
      </c>
      <c r="P173" s="171"/>
      <c r="Q173" s="171" t="s">
        <v>8</v>
      </c>
      <c r="R173" s="219"/>
      <c r="S173" s="16"/>
    </row>
    <row r="174" spans="4:19" s="17" customFormat="1" ht="15" customHeight="1">
      <c r="D174" s="159">
        <v>0.63</v>
      </c>
      <c r="E174" s="160"/>
      <c r="F174" s="138">
        <v>6.23</v>
      </c>
      <c r="G174" s="61"/>
      <c r="H174" s="67">
        <f>1495*1.1</f>
        <v>1644.5000000000002</v>
      </c>
      <c r="I174" s="68"/>
      <c r="J174" s="68">
        <f>1581*1.1</f>
        <v>1739.1000000000001</v>
      </c>
      <c r="K174" s="68"/>
      <c r="L174" s="68">
        <f>1754*1.1</f>
        <v>1929.4</v>
      </c>
      <c r="M174" s="68"/>
      <c r="N174" s="68">
        <f>1924*1.1</f>
        <v>2116.4</v>
      </c>
      <c r="O174" s="68"/>
      <c r="P174" s="68">
        <f>2033*1.1</f>
        <v>2236.3</v>
      </c>
      <c r="Q174" s="68">
        <f aca="true" t="shared" si="7" ref="Q174:R176">Q175/1.01</f>
        <v>77.64721183421156</v>
      </c>
      <c r="R174" s="69">
        <f t="shared" si="7"/>
        <v>79.74368655373526</v>
      </c>
      <c r="S174" s="16"/>
    </row>
    <row r="175" spans="1:19" s="17" customFormat="1" ht="15" customHeight="1">
      <c r="A175" s="58"/>
      <c r="B175" s="58"/>
      <c r="C175" s="58"/>
      <c r="D175" s="168">
        <v>0.8</v>
      </c>
      <c r="E175" s="169"/>
      <c r="F175" s="139">
        <v>6.2</v>
      </c>
      <c r="G175" s="62"/>
      <c r="H175" s="70">
        <f>1510*1.1</f>
        <v>1661.0000000000002</v>
      </c>
      <c r="I175" s="45"/>
      <c r="J175" s="45">
        <f>1597*1.1</f>
        <v>1756.7</v>
      </c>
      <c r="K175" s="45"/>
      <c r="L175" s="45">
        <f>1772*1.1</f>
        <v>1949.2</v>
      </c>
      <c r="M175" s="45"/>
      <c r="N175" s="45">
        <f>1943*1.1</f>
        <v>2137.3</v>
      </c>
      <c r="O175" s="45"/>
      <c r="P175" s="45">
        <f>2054*1.1</f>
        <v>2259.4</v>
      </c>
      <c r="Q175" s="45">
        <f t="shared" si="7"/>
        <v>78.42368395255367</v>
      </c>
      <c r="R175" s="71">
        <f t="shared" si="7"/>
        <v>80.54112341927261</v>
      </c>
      <c r="S175" s="16"/>
    </row>
    <row r="176" spans="1:19" s="17" customFormat="1" ht="15" customHeight="1">
      <c r="A176" s="58"/>
      <c r="B176" s="58"/>
      <c r="C176" s="58"/>
      <c r="D176" s="168">
        <v>1</v>
      </c>
      <c r="E176" s="169"/>
      <c r="F176" s="139">
        <v>6.9</v>
      </c>
      <c r="G176" s="62"/>
      <c r="H176" s="70">
        <f>1525*1.1</f>
        <v>1677.5000000000002</v>
      </c>
      <c r="I176" s="45"/>
      <c r="J176" s="45">
        <f>1613*1.1</f>
        <v>1774.3000000000002</v>
      </c>
      <c r="K176" s="45"/>
      <c r="L176" s="45">
        <f>1790*1.1</f>
        <v>1969.0000000000002</v>
      </c>
      <c r="M176" s="45"/>
      <c r="N176" s="45">
        <f>1962*1.1</f>
        <v>2158.2000000000003</v>
      </c>
      <c r="O176" s="45"/>
      <c r="P176" s="45">
        <f>2074*1.1</f>
        <v>2281.4</v>
      </c>
      <c r="Q176" s="45">
        <f t="shared" si="7"/>
        <v>79.20792079207921</v>
      </c>
      <c r="R176" s="71">
        <f t="shared" si="7"/>
        <v>81.34653465346534</v>
      </c>
      <c r="S176" s="16"/>
    </row>
    <row r="177" spans="1:19" s="12" customFormat="1" ht="15" customHeight="1">
      <c r="A177" s="158"/>
      <c r="B177" s="158"/>
      <c r="C177" s="60"/>
      <c r="D177" s="168">
        <v>1.25</v>
      </c>
      <c r="E177" s="169"/>
      <c r="F177" s="139">
        <v>7.6</v>
      </c>
      <c r="G177" s="64">
        <v>1500</v>
      </c>
      <c r="H177" s="73">
        <f>1541*1.1</f>
        <v>1695.1000000000001</v>
      </c>
      <c r="I177" s="40"/>
      <c r="J177" s="39">
        <f>1629*1.1</f>
        <v>1791.9</v>
      </c>
      <c r="K177" s="40"/>
      <c r="L177" s="39">
        <f>1808*1.1</f>
        <v>1988.8000000000002</v>
      </c>
      <c r="M177" s="40"/>
      <c r="N177" s="39">
        <f>1982*1.1</f>
        <v>2180.2000000000003</v>
      </c>
      <c r="O177" s="40"/>
      <c r="P177" s="39">
        <f>2095*1.1</f>
        <v>2304.5</v>
      </c>
      <c r="Q177" s="40" t="s">
        <v>50</v>
      </c>
      <c r="R177" s="41">
        <f>((Q177*0.18)*0.15)+Q177</f>
        <v>82.16</v>
      </c>
      <c r="S177" s="14"/>
    </row>
    <row r="178" spans="1:19" s="12" customFormat="1" ht="15" customHeight="1">
      <c r="A178" s="59"/>
      <c r="B178" s="59"/>
      <c r="C178" s="60"/>
      <c r="D178" s="175" t="s">
        <v>38</v>
      </c>
      <c r="E178" s="176"/>
      <c r="F178" s="139">
        <v>8.3</v>
      </c>
      <c r="G178" s="64"/>
      <c r="H178" s="73">
        <f>1551*1.1</f>
        <v>1706.1000000000001</v>
      </c>
      <c r="I178" s="39"/>
      <c r="J178" s="39">
        <f>1903*1.1</f>
        <v>2093.3</v>
      </c>
      <c r="K178" s="39"/>
      <c r="L178" s="39">
        <f>2074*1.1</f>
        <v>2281.4</v>
      </c>
      <c r="M178" s="39"/>
      <c r="N178" s="39">
        <f>2276*1.1</f>
        <v>2503.6000000000004</v>
      </c>
      <c r="O178" s="39"/>
      <c r="P178" s="39">
        <f>2416*1.1</f>
        <v>2657.6000000000004</v>
      </c>
      <c r="Q178" s="39">
        <f>Q179/1.02</f>
        <v>117.6470588235294</v>
      </c>
      <c r="R178" s="41">
        <f>R179/1.02</f>
        <v>120.8235294117647</v>
      </c>
      <c r="S178" s="14"/>
    </row>
    <row r="179" spans="4:19" s="12" customFormat="1" ht="15" customHeight="1">
      <c r="D179" s="168">
        <v>2</v>
      </c>
      <c r="E179" s="169"/>
      <c r="F179" s="139">
        <v>9.9</v>
      </c>
      <c r="G179" s="64" t="s">
        <v>165</v>
      </c>
      <c r="H179" s="73">
        <f>1582*1.1</f>
        <v>1740.2</v>
      </c>
      <c r="I179" s="40"/>
      <c r="J179" s="39">
        <f>1941*1.1</f>
        <v>2135.1000000000004</v>
      </c>
      <c r="K179" s="40"/>
      <c r="L179" s="39">
        <f>2116*1.1</f>
        <v>2327.6000000000004</v>
      </c>
      <c r="M179" s="40"/>
      <c r="N179" s="39">
        <f>2321*1.1</f>
        <v>2553.1000000000004</v>
      </c>
      <c r="O179" s="40"/>
      <c r="P179" s="39">
        <f>2465*1.1</f>
        <v>2711.5</v>
      </c>
      <c r="Q179" s="40" t="s">
        <v>12</v>
      </c>
      <c r="R179" s="41">
        <f aca="true" t="shared" si="8" ref="R179:R189">((Q179*0.18)*0.15)+Q179</f>
        <v>123.24</v>
      </c>
      <c r="S179" s="14"/>
    </row>
    <row r="180" spans="4:19" s="12" customFormat="1" ht="15" customHeight="1">
      <c r="D180" s="167" t="s">
        <v>51</v>
      </c>
      <c r="E180" s="157"/>
      <c r="F180" s="139">
        <v>11.5</v>
      </c>
      <c r="G180" s="64" t="s">
        <v>164</v>
      </c>
      <c r="H180" s="73">
        <f>1643*1.1</f>
        <v>1807.3000000000002</v>
      </c>
      <c r="I180" s="40"/>
      <c r="J180" s="39">
        <f>2116*1.1</f>
        <v>2327.6000000000004</v>
      </c>
      <c r="K180" s="40"/>
      <c r="L180" s="39">
        <f>2352*1.1</f>
        <v>2587.2000000000003</v>
      </c>
      <c r="M180" s="40"/>
      <c r="N180" s="39">
        <f>2424*1.1</f>
        <v>2666.4</v>
      </c>
      <c r="O180" s="40"/>
      <c r="P180" s="39">
        <f>2588*1.1</f>
        <v>2846.8</v>
      </c>
      <c r="Q180" s="40" t="s">
        <v>167</v>
      </c>
      <c r="R180" s="41">
        <f t="shared" si="8"/>
        <v>143.78</v>
      </c>
      <c r="S180" s="14"/>
    </row>
    <row r="181" spans="4:19" s="12" customFormat="1" ht="15" customHeight="1">
      <c r="D181" s="175" t="s">
        <v>64</v>
      </c>
      <c r="E181" s="176"/>
      <c r="F181" s="139">
        <v>12</v>
      </c>
      <c r="G181" s="64" t="s">
        <v>144</v>
      </c>
      <c r="H181" s="73">
        <f>2095*1.1</f>
        <v>2304.5</v>
      </c>
      <c r="I181" s="40"/>
      <c r="J181" s="39">
        <f>2321*1.1</f>
        <v>2553.1000000000004</v>
      </c>
      <c r="K181" s="40"/>
      <c r="L181" s="39">
        <f>2506*1.1</f>
        <v>2756.6000000000004</v>
      </c>
      <c r="M181" s="40"/>
      <c r="N181" s="39">
        <f>2588*1.1</f>
        <v>2846.8</v>
      </c>
      <c r="O181" s="40"/>
      <c r="P181" s="39">
        <f>2835*1.1</f>
        <v>3118.5000000000005</v>
      </c>
      <c r="Q181" s="40" t="s">
        <v>14</v>
      </c>
      <c r="R181" s="41">
        <f t="shared" si="8"/>
        <v>154.05</v>
      </c>
      <c r="S181" s="14"/>
    </row>
    <row r="182" spans="4:19" s="12" customFormat="1" ht="15" customHeight="1">
      <c r="D182" s="175" t="s">
        <v>72</v>
      </c>
      <c r="E182" s="176"/>
      <c r="F182" s="139">
        <v>13.5</v>
      </c>
      <c r="G182" s="64" t="s">
        <v>182</v>
      </c>
      <c r="H182" s="73">
        <f>2542*1.1</f>
        <v>2796.2000000000003</v>
      </c>
      <c r="I182" s="40"/>
      <c r="J182" s="39">
        <f>2645*1.1</f>
        <v>2909.5000000000005</v>
      </c>
      <c r="K182" s="40"/>
      <c r="L182" s="39">
        <f>2886*1.1</f>
        <v>3174.6000000000004</v>
      </c>
      <c r="M182" s="40"/>
      <c r="N182" s="39">
        <f>3112*1.1</f>
        <v>3423.2000000000003</v>
      </c>
      <c r="O182" s="40"/>
      <c r="P182" s="39">
        <f>3358*1.1</f>
        <v>3693.8</v>
      </c>
      <c r="Q182" s="40" t="s">
        <v>16</v>
      </c>
      <c r="R182" s="41">
        <f t="shared" si="8"/>
        <v>184.86</v>
      </c>
      <c r="S182" s="14"/>
    </row>
    <row r="183" spans="4:19" s="12" customFormat="1" ht="15" customHeight="1">
      <c r="D183" s="175" t="s">
        <v>81</v>
      </c>
      <c r="E183" s="176"/>
      <c r="F183" s="139">
        <v>14</v>
      </c>
      <c r="G183" s="64" t="s">
        <v>110</v>
      </c>
      <c r="H183" s="73">
        <f>3009*1.1</f>
        <v>3309.9</v>
      </c>
      <c r="I183" s="40"/>
      <c r="J183" s="39">
        <f>3122*1.1</f>
        <v>3434.2000000000003</v>
      </c>
      <c r="K183" s="40"/>
      <c r="L183" s="39">
        <f>3451*1.1</f>
        <v>3796.1000000000004</v>
      </c>
      <c r="M183" s="40"/>
      <c r="N183" s="39">
        <f>3779*1.1</f>
        <v>4156.900000000001</v>
      </c>
      <c r="O183" s="40"/>
      <c r="P183" s="39">
        <f>4057*1.1</f>
        <v>4462.700000000001</v>
      </c>
      <c r="Q183" s="40" t="s">
        <v>132</v>
      </c>
      <c r="R183" s="41">
        <f t="shared" si="8"/>
        <v>225.94</v>
      </c>
      <c r="S183" s="14"/>
    </row>
    <row r="184" spans="4:19" s="12" customFormat="1" ht="15" customHeight="1">
      <c r="D184" s="175" t="s">
        <v>90</v>
      </c>
      <c r="E184" s="176"/>
      <c r="F184" s="139">
        <v>16.5</v>
      </c>
      <c r="G184" s="64" t="s">
        <v>179</v>
      </c>
      <c r="H184" s="73">
        <f>3790*1.1</f>
        <v>4169</v>
      </c>
      <c r="I184" s="40"/>
      <c r="J184" s="39">
        <f>3954*1.1</f>
        <v>4349.400000000001</v>
      </c>
      <c r="K184" s="40"/>
      <c r="L184" s="39">
        <f>4354*1.1</f>
        <v>4789.400000000001</v>
      </c>
      <c r="M184" s="40"/>
      <c r="N184" s="39">
        <f>4755*1.1</f>
        <v>5230.5</v>
      </c>
      <c r="O184" s="40"/>
      <c r="P184" s="39">
        <f>5135*1.1</f>
        <v>5648.500000000001</v>
      </c>
      <c r="Q184" s="40" t="s">
        <v>24</v>
      </c>
      <c r="R184" s="41">
        <f t="shared" si="8"/>
        <v>297.83</v>
      </c>
      <c r="S184" s="14"/>
    </row>
    <row r="185" spans="4:19" s="12" customFormat="1" ht="15" customHeight="1">
      <c r="D185" s="175" t="s">
        <v>99</v>
      </c>
      <c r="E185" s="176"/>
      <c r="F185" s="139">
        <v>19.5</v>
      </c>
      <c r="G185" s="64" t="s">
        <v>183</v>
      </c>
      <c r="H185" s="73">
        <f>4889*1.1</f>
        <v>5377.900000000001</v>
      </c>
      <c r="I185" s="40"/>
      <c r="J185" s="39">
        <f>4991*1.1</f>
        <v>5490.1</v>
      </c>
      <c r="K185" s="40"/>
      <c r="L185" s="39">
        <f>5464*1.1</f>
        <v>6010.400000000001</v>
      </c>
      <c r="M185" s="40"/>
      <c r="N185" s="39">
        <f>6039*1.1</f>
        <v>6642.900000000001</v>
      </c>
      <c r="O185" s="40"/>
      <c r="P185" s="39">
        <f>6450*1.1</f>
        <v>7095.000000000001</v>
      </c>
      <c r="Q185" s="40" t="s">
        <v>27</v>
      </c>
      <c r="R185" s="41">
        <f t="shared" si="8"/>
        <v>369.72</v>
      </c>
      <c r="S185" s="14"/>
    </row>
    <row r="186" spans="4:19" s="12" customFormat="1" ht="15" customHeight="1">
      <c r="D186" s="175" t="s">
        <v>108</v>
      </c>
      <c r="E186" s="176"/>
      <c r="F186" s="139">
        <v>22</v>
      </c>
      <c r="G186" s="64" t="s">
        <v>184</v>
      </c>
      <c r="H186" s="73">
        <f>6491*1.1</f>
        <v>7140.1</v>
      </c>
      <c r="I186" s="40"/>
      <c r="J186" s="39">
        <f>6634*1.1</f>
        <v>7297.400000000001</v>
      </c>
      <c r="K186" s="40"/>
      <c r="L186" s="39">
        <f>7292*1.1</f>
        <v>8021.200000000001</v>
      </c>
      <c r="M186" s="40"/>
      <c r="N186" s="39">
        <f>7928*1.1</f>
        <v>8720.800000000001</v>
      </c>
      <c r="O186" s="40"/>
      <c r="P186" s="39">
        <f>8595*1.1</f>
        <v>9454.5</v>
      </c>
      <c r="Q186" s="40" t="s">
        <v>44</v>
      </c>
      <c r="R186" s="41">
        <f t="shared" si="8"/>
        <v>431.34</v>
      </c>
      <c r="S186" s="14"/>
    </row>
    <row r="187" spans="4:19" s="12" customFormat="1" ht="15" customHeight="1">
      <c r="D187" s="175" t="s">
        <v>115</v>
      </c>
      <c r="E187" s="176"/>
      <c r="F187" s="139">
        <v>24</v>
      </c>
      <c r="G187" s="64">
        <f>(7920*0.2)+7920</f>
        <v>9504</v>
      </c>
      <c r="H187" s="73">
        <f>9761*1.1</f>
        <v>10737.1</v>
      </c>
      <c r="I187" s="40"/>
      <c r="J187" s="39">
        <f>9835*1.1</f>
        <v>10818.5</v>
      </c>
      <c r="K187" s="40"/>
      <c r="L187" s="39">
        <f>10710*1.1</f>
        <v>11781.000000000002</v>
      </c>
      <c r="M187" s="40"/>
      <c r="N187" s="39">
        <f>11486*1.1</f>
        <v>12634.6</v>
      </c>
      <c r="O187" s="40"/>
      <c r="P187" s="39">
        <f>12460*1.1</f>
        <v>13706.000000000002</v>
      </c>
      <c r="Q187" s="40">
        <f>(520*0.2)+520</f>
        <v>624</v>
      </c>
      <c r="R187" s="41">
        <f t="shared" si="8"/>
        <v>640.848</v>
      </c>
      <c r="S187" s="14"/>
    </row>
    <row r="188" spans="4:19" s="12" customFormat="1" ht="15" customHeight="1">
      <c r="D188" s="161" t="s">
        <v>122</v>
      </c>
      <c r="E188" s="162"/>
      <c r="F188" s="139">
        <v>27</v>
      </c>
      <c r="G188" s="64">
        <f>(11600*0.15)+11600</f>
        <v>13340</v>
      </c>
      <c r="H188" s="73">
        <f>13700*1.1</f>
        <v>15070.000000000002</v>
      </c>
      <c r="I188" s="39"/>
      <c r="J188" s="39">
        <f>14450*1.1</f>
        <v>15895.000000000002</v>
      </c>
      <c r="K188" s="40"/>
      <c r="L188" s="39">
        <f>14858*1.1</f>
        <v>16343.800000000001</v>
      </c>
      <c r="M188" s="40"/>
      <c r="N188" s="39">
        <f>15779*1.1</f>
        <v>17356.9</v>
      </c>
      <c r="O188" s="40"/>
      <c r="P188" s="39">
        <f>16511*1.1</f>
        <v>18162.100000000002</v>
      </c>
      <c r="Q188" s="40">
        <f>(640*0.15)+640</f>
        <v>736</v>
      </c>
      <c r="R188" s="41">
        <f t="shared" si="8"/>
        <v>755.872</v>
      </c>
      <c r="S188" s="14"/>
    </row>
    <row r="189" spans="4:19" s="12" customFormat="1" ht="15" customHeight="1" thickBot="1">
      <c r="D189" s="163" t="s">
        <v>127</v>
      </c>
      <c r="E189" s="164"/>
      <c r="F189" s="140">
        <v>30.5</v>
      </c>
      <c r="G189" s="77">
        <f>(16920*0.07)+16920</f>
        <v>18104.4</v>
      </c>
      <c r="H189" s="74">
        <f>18593*1.1</f>
        <v>20452.300000000003</v>
      </c>
      <c r="I189" s="43"/>
      <c r="J189" s="43">
        <f>19611*1.1</f>
        <v>21572.100000000002</v>
      </c>
      <c r="K189" s="42"/>
      <c r="L189" s="43">
        <f>20044*1.1</f>
        <v>22048.4</v>
      </c>
      <c r="M189" s="42"/>
      <c r="N189" s="43">
        <f>21362*1.1</f>
        <v>23498.2</v>
      </c>
      <c r="O189" s="42"/>
      <c r="P189" s="43">
        <f>22483*1.1</f>
        <v>24731.300000000003</v>
      </c>
      <c r="Q189" s="42">
        <f>(890*0.07)+890</f>
        <v>952.3</v>
      </c>
      <c r="R189" s="44">
        <f t="shared" si="8"/>
        <v>978.0120999999999</v>
      </c>
      <c r="S189" s="14"/>
    </row>
    <row r="190" spans="4:19" s="12" customFormat="1" ht="15" customHeight="1">
      <c r="D190" s="177"/>
      <c r="E190" s="170"/>
      <c r="F190" s="83"/>
      <c r="G190" s="83"/>
      <c r="H190" s="87"/>
      <c r="I190" s="88"/>
      <c r="J190" s="88"/>
      <c r="K190" s="88"/>
      <c r="L190" s="87"/>
      <c r="M190" s="88"/>
      <c r="N190" s="87"/>
      <c r="O190" s="88"/>
      <c r="P190" s="87"/>
      <c r="Q190" s="88"/>
      <c r="R190" s="87"/>
      <c r="S190" s="14"/>
    </row>
    <row r="191" spans="4:27" s="12" customFormat="1" ht="15" customHeight="1">
      <c r="D191" s="218" t="s">
        <v>207</v>
      </c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115"/>
      <c r="Z191" s="115"/>
      <c r="AA191" s="115"/>
    </row>
    <row r="192" spans="4:27" ht="15" customHeight="1">
      <c r="D192" s="218" t="s">
        <v>187</v>
      </c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116"/>
      <c r="Z192" s="115"/>
      <c r="AA192" s="115"/>
    </row>
    <row r="193" spans="4:27" ht="15" customHeight="1">
      <c r="D193" s="234" t="s">
        <v>199</v>
      </c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</row>
    <row r="194" spans="4:27" ht="15" customHeight="1"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</row>
    <row r="195" ht="15" customHeight="1"/>
    <row r="196" ht="15" customHeight="1"/>
  </sheetData>
  <mergeCells count="151">
    <mergeCell ref="H149:R149"/>
    <mergeCell ref="D59:E59"/>
    <mergeCell ref="D53:E53"/>
    <mergeCell ref="D54:E54"/>
    <mergeCell ref="D94:E94"/>
    <mergeCell ref="D55:E55"/>
    <mergeCell ref="D108:E109"/>
    <mergeCell ref="D120:E120"/>
    <mergeCell ref="D121:E121"/>
    <mergeCell ref="D122:E122"/>
    <mergeCell ref="D103:E103"/>
    <mergeCell ref="D51:E51"/>
    <mergeCell ref="H167:R167"/>
    <mergeCell ref="D149:E150"/>
    <mergeCell ref="F149:F150"/>
    <mergeCell ref="D154:E154"/>
    <mergeCell ref="D157:E157"/>
    <mergeCell ref="D166:E166"/>
    <mergeCell ref="D156:E156"/>
    <mergeCell ref="D155:E155"/>
    <mergeCell ref="D52:E52"/>
    <mergeCell ref="D60:E60"/>
    <mergeCell ref="D61:E61"/>
    <mergeCell ref="D62:E62"/>
    <mergeCell ref="D56:E56"/>
    <mergeCell ref="D57:E57"/>
    <mergeCell ref="D58:E58"/>
    <mergeCell ref="D41:E41"/>
    <mergeCell ref="D90:E90"/>
    <mergeCell ref="D91:E91"/>
    <mergeCell ref="D92:E92"/>
    <mergeCell ref="D89:E89"/>
    <mergeCell ref="D47:E47"/>
    <mergeCell ref="D48:E48"/>
    <mergeCell ref="D49:E49"/>
    <mergeCell ref="D50:E50"/>
    <mergeCell ref="D44:E46"/>
    <mergeCell ref="D37:E37"/>
    <mergeCell ref="D38:E38"/>
    <mergeCell ref="D39:E39"/>
    <mergeCell ref="D40:E40"/>
    <mergeCell ref="D36:E36"/>
    <mergeCell ref="D31:E31"/>
    <mergeCell ref="D32:E32"/>
    <mergeCell ref="D33:E33"/>
    <mergeCell ref="D34:E34"/>
    <mergeCell ref="F21:F23"/>
    <mergeCell ref="A107:B107"/>
    <mergeCell ref="A108:B108"/>
    <mergeCell ref="A109:B109"/>
    <mergeCell ref="D104:E104"/>
    <mergeCell ref="D29:E29"/>
    <mergeCell ref="D30:E30"/>
    <mergeCell ref="D21:E23"/>
    <mergeCell ref="D24:E24"/>
    <mergeCell ref="D35:E35"/>
    <mergeCell ref="A110:B110"/>
    <mergeCell ref="D111:E111"/>
    <mergeCell ref="D112:E112"/>
    <mergeCell ref="D113:E113"/>
    <mergeCell ref="D110:E110"/>
    <mergeCell ref="H108:R108"/>
    <mergeCell ref="D93:E93"/>
    <mergeCell ref="F44:F46"/>
    <mergeCell ref="D193:AA194"/>
    <mergeCell ref="D114:E114"/>
    <mergeCell ref="D115:E115"/>
    <mergeCell ref="D116:E116"/>
    <mergeCell ref="H126:R126"/>
    <mergeCell ref="D190:E190"/>
    <mergeCell ref="D163:E163"/>
    <mergeCell ref="D151:E151"/>
    <mergeCell ref="D152:E152"/>
    <mergeCell ref="D153:E153"/>
    <mergeCell ref="D117:E117"/>
    <mergeCell ref="D118:E118"/>
    <mergeCell ref="D119:E119"/>
    <mergeCell ref="D126:E126"/>
    <mergeCell ref="D124:E124"/>
    <mergeCell ref="H172:R172"/>
    <mergeCell ref="Y45:Y46"/>
    <mergeCell ref="D158:E158"/>
    <mergeCell ref="D159:E159"/>
    <mergeCell ref="D160:E160"/>
    <mergeCell ref="D99:E99"/>
    <mergeCell ref="D100:E100"/>
    <mergeCell ref="D101:E101"/>
    <mergeCell ref="I45:L45"/>
    <mergeCell ref="D95:E95"/>
    <mergeCell ref="D192:X192"/>
    <mergeCell ref="D191:X191"/>
    <mergeCell ref="O173:P173"/>
    <mergeCell ref="Q173:R173"/>
    <mergeCell ref="I173:J173"/>
    <mergeCell ref="K173:L173"/>
    <mergeCell ref="D177:E177"/>
    <mergeCell ref="D178:E178"/>
    <mergeCell ref="D123:E123"/>
    <mergeCell ref="Z45:Z46"/>
    <mergeCell ref="M45:P45"/>
    <mergeCell ref="Q45:T45"/>
    <mergeCell ref="U45:X45"/>
    <mergeCell ref="H21:Z21"/>
    <mergeCell ref="H40:Z40"/>
    <mergeCell ref="H41:Z41"/>
    <mergeCell ref="Q22:T22"/>
    <mergeCell ref="U22:X22"/>
    <mergeCell ref="H44:Z44"/>
    <mergeCell ref="I22:L22"/>
    <mergeCell ref="Z22:Z23"/>
    <mergeCell ref="M22:P22"/>
    <mergeCell ref="Y22:Y23"/>
    <mergeCell ref="D43:Z43"/>
    <mergeCell ref="D27:E27"/>
    <mergeCell ref="D28:E28"/>
    <mergeCell ref="D25:E25"/>
    <mergeCell ref="D26:E26"/>
    <mergeCell ref="A177:B177"/>
    <mergeCell ref="D174:E174"/>
    <mergeCell ref="D188:E188"/>
    <mergeCell ref="D189:E189"/>
    <mergeCell ref="D183:E183"/>
    <mergeCell ref="D184:E184"/>
    <mergeCell ref="D185:E185"/>
    <mergeCell ref="D186:E186"/>
    <mergeCell ref="M173:N173"/>
    <mergeCell ref="D161:E161"/>
    <mergeCell ref="D162:E162"/>
    <mergeCell ref="D187:E187"/>
    <mergeCell ref="D179:E179"/>
    <mergeCell ref="D180:E180"/>
    <mergeCell ref="D181:E181"/>
    <mergeCell ref="D182:E182"/>
    <mergeCell ref="D175:E175"/>
    <mergeCell ref="D176:E176"/>
    <mergeCell ref="D172:E173"/>
    <mergeCell ref="F172:F173"/>
    <mergeCell ref="D164:E164"/>
    <mergeCell ref="D165:E165"/>
    <mergeCell ref="D168:E168"/>
    <mergeCell ref="D167:E167"/>
    <mergeCell ref="H86:R86"/>
    <mergeCell ref="D88:E88"/>
    <mergeCell ref="H125:R125"/>
    <mergeCell ref="D96:E96"/>
    <mergeCell ref="D97:E97"/>
    <mergeCell ref="D98:E98"/>
    <mergeCell ref="D86:E87"/>
    <mergeCell ref="F86:F87"/>
    <mergeCell ref="D125:E125"/>
    <mergeCell ref="D102:E102"/>
  </mergeCells>
  <printOptions/>
  <pageMargins left="0.1968503937007874" right="0.1968503937007874" top="0.3937007874015748" bottom="0.1968503937007874" header="0" footer="0"/>
  <pageSetup horizontalDpi="600" verticalDpi="600" orientation="portrait" paperSize="9" scale="74" r:id="rId2"/>
  <rowBreaks count="2" manualBreakCount="2">
    <brk id="65" min="2" max="27" man="1"/>
    <brk id="128" min="2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valukina</dc:creator>
  <cp:keywords/>
  <dc:description/>
  <cp:lastModifiedBy>куковская</cp:lastModifiedBy>
  <cp:lastPrinted>2013-09-06T00:42:39Z</cp:lastPrinted>
  <dcterms:created xsi:type="dcterms:W3CDTF">2009-12-17T01:41:08Z</dcterms:created>
  <dcterms:modified xsi:type="dcterms:W3CDTF">2013-09-06T00:44:11Z</dcterms:modified>
  <cp:category/>
  <cp:version/>
  <cp:contentType/>
  <cp:contentStatus/>
</cp:coreProperties>
</file>